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. RESPALDOS\SEBASTIAN JURADO\TESIS\IMPRESION TESIS\CD IMPRESION\CD\"/>
    </mc:Choice>
  </mc:AlternateContent>
  <bookViews>
    <workbookView xWindow="0" yWindow="0" windowWidth="16392" windowHeight="5664" tabRatio="840" firstSheet="3" activeTab="7"/>
  </bookViews>
  <sheets>
    <sheet name="PERFIL CLIENTE" sheetId="1" r:id="rId1"/>
    <sheet name="CONFIGURACION" sheetId="2" state="hidden" r:id="rId2"/>
    <sheet name="EVALUACION FINANCIERA" sheetId="3" r:id="rId3"/>
    <sheet name="TABLA DE AMORTIZACION" sheetId="5" r:id="rId4"/>
    <sheet name="Hoja5" sheetId="11" state="hidden" r:id="rId5"/>
    <sheet name="FLUJO DE CAJA 2014" sheetId="7" r:id="rId6"/>
    <sheet name="FLUJO DE CAJA 2015" sheetId="8" r:id="rId7"/>
    <sheet name="FLUJO DE CAJA 2016" sheetId="10" r:id="rId8"/>
  </sheets>
  <definedNames>
    <definedName name="_xlnm._FilterDatabase" localSheetId="2" hidden="1">'EVALUACION FINANCIERA'!#REF!</definedName>
    <definedName name="_xlnm._FilterDatabase" localSheetId="0" hidden="1">'PERFIL CLIENTE'!#REF!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8" l="1"/>
  <c r="B9" i="8"/>
  <c r="O5" i="3"/>
  <c r="O6" i="3"/>
  <c r="O7" i="3"/>
  <c r="O8" i="3"/>
  <c r="O9" i="3"/>
  <c r="O10" i="3"/>
  <c r="O11" i="3"/>
  <c r="O12" i="3"/>
  <c r="O13" i="3"/>
  <c r="O14" i="3"/>
  <c r="O15" i="3"/>
  <c r="O16" i="3"/>
  <c r="O4" i="3"/>
  <c r="P16" i="3"/>
  <c r="B27" i="7"/>
  <c r="B16" i="7"/>
  <c r="B10" i="7"/>
  <c r="P4" i="3"/>
  <c r="B51" i="1" l="1"/>
  <c r="N34" i="7" l="1"/>
  <c r="N28" i="10" l="1"/>
  <c r="N27" i="10"/>
  <c r="N28" i="8"/>
  <c r="N25" i="8"/>
  <c r="N26" i="8"/>
  <c r="N27" i="8"/>
  <c r="C17" i="7"/>
  <c r="D17" i="7"/>
  <c r="E17" i="7"/>
  <c r="F17" i="7"/>
  <c r="G17" i="7"/>
  <c r="H17" i="7"/>
  <c r="I17" i="7"/>
  <c r="J17" i="7"/>
  <c r="K17" i="7"/>
  <c r="L17" i="7"/>
  <c r="M17" i="7"/>
  <c r="N17" i="7"/>
  <c r="B17" i="7"/>
  <c r="J15" i="3"/>
  <c r="D27" i="10" l="1"/>
  <c r="E27" i="10" s="1"/>
  <c r="F27" i="10" s="1"/>
  <c r="G27" i="10" s="1"/>
  <c r="H27" i="10" s="1"/>
  <c r="I27" i="10" s="1"/>
  <c r="J27" i="10" s="1"/>
  <c r="K27" i="10" s="1"/>
  <c r="L27" i="10" s="1"/>
  <c r="M27" i="10" s="1"/>
  <c r="C27" i="10"/>
  <c r="C27" i="8"/>
  <c r="D27" i="8" s="1"/>
  <c r="E27" i="8" s="1"/>
  <c r="F27" i="8" s="1"/>
  <c r="G27" i="8" s="1"/>
  <c r="H27" i="8" s="1"/>
  <c r="I27" i="8" s="1"/>
  <c r="J27" i="8" s="1"/>
  <c r="K27" i="8" s="1"/>
  <c r="L27" i="8" s="1"/>
  <c r="M27" i="8" s="1"/>
  <c r="C34" i="7"/>
  <c r="D34" i="7" s="1"/>
  <c r="E34" i="7" s="1"/>
  <c r="F34" i="7" s="1"/>
  <c r="G34" i="7" s="1"/>
  <c r="H34" i="7" s="1"/>
  <c r="I34" i="7" s="1"/>
  <c r="J34" i="7" s="1"/>
  <c r="K34" i="7" s="1"/>
  <c r="L34" i="7" s="1"/>
  <c r="M34" i="7" s="1"/>
  <c r="B24" i="7"/>
  <c r="M28" i="10" l="1"/>
  <c r="L28" i="10"/>
  <c r="K28" i="10"/>
  <c r="J28" i="10"/>
  <c r="I28" i="10"/>
  <c r="H28" i="10"/>
  <c r="G28" i="10"/>
  <c r="F28" i="10"/>
  <c r="E28" i="10"/>
  <c r="D28" i="10"/>
  <c r="C28" i="10"/>
  <c r="B28" i="10"/>
  <c r="B28" i="8"/>
  <c r="M28" i="8"/>
  <c r="L28" i="8"/>
  <c r="K28" i="8"/>
  <c r="J28" i="8"/>
  <c r="I28" i="8"/>
  <c r="H28" i="8"/>
  <c r="G28" i="8"/>
  <c r="F28" i="8"/>
  <c r="E28" i="8"/>
  <c r="D28" i="8"/>
  <c r="C28" i="8"/>
  <c r="F74" i="3"/>
  <c r="D74" i="3"/>
  <c r="B74" i="3"/>
  <c r="J4" i="3" l="1"/>
  <c r="I5" i="3"/>
  <c r="I4" i="3" l="1"/>
  <c r="E26" i="11" l="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D26" i="11"/>
  <c r="B16" i="8" l="1"/>
  <c r="B16" i="10" s="1"/>
  <c r="C16" i="10" s="1"/>
  <c r="N30" i="10"/>
  <c r="N26" i="10"/>
  <c r="N25" i="10"/>
  <c r="N24" i="10"/>
  <c r="N23" i="10"/>
  <c r="C21" i="10"/>
  <c r="D21" i="10" s="1"/>
  <c r="E21" i="10" s="1"/>
  <c r="F21" i="10" s="1"/>
  <c r="G21" i="10" s="1"/>
  <c r="H21" i="10" s="1"/>
  <c r="I21" i="10" s="1"/>
  <c r="J21" i="10" s="1"/>
  <c r="K21" i="10" s="1"/>
  <c r="L21" i="10" s="1"/>
  <c r="M21" i="10" s="1"/>
  <c r="N19" i="10"/>
  <c r="N18" i="10"/>
  <c r="N15" i="10"/>
  <c r="N14" i="10"/>
  <c r="N31" i="8"/>
  <c r="N24" i="8"/>
  <c r="N23" i="8"/>
  <c r="C21" i="8"/>
  <c r="D21" i="8" s="1"/>
  <c r="E21" i="8" s="1"/>
  <c r="F21" i="8" s="1"/>
  <c r="G21" i="8" s="1"/>
  <c r="H21" i="8" s="1"/>
  <c r="I21" i="8" s="1"/>
  <c r="J21" i="8" s="1"/>
  <c r="K21" i="8" s="1"/>
  <c r="L21" i="8" s="1"/>
  <c r="M21" i="8" s="1"/>
  <c r="N19" i="8"/>
  <c r="N18" i="8"/>
  <c r="N15" i="8"/>
  <c r="N14" i="8"/>
  <c r="N38" i="7"/>
  <c r="N31" i="7"/>
  <c r="N30" i="7"/>
  <c r="N26" i="7"/>
  <c r="N25" i="7"/>
  <c r="C23" i="7"/>
  <c r="D23" i="7" s="1"/>
  <c r="N22" i="7"/>
  <c r="N21" i="7"/>
  <c r="B11" i="7"/>
  <c r="B19" i="7" s="1"/>
  <c r="C9" i="7"/>
  <c r="D9" i="7" s="1"/>
  <c r="C24" i="7" l="1"/>
  <c r="C16" i="8"/>
  <c r="D16" i="8" s="1"/>
  <c r="B11" i="8"/>
  <c r="C10" i="8"/>
  <c r="D10" i="8" s="1"/>
  <c r="E10" i="8" s="1"/>
  <c r="F10" i="8" s="1"/>
  <c r="G10" i="8" s="1"/>
  <c r="H10" i="8" s="1"/>
  <c r="I10" i="8" s="1"/>
  <c r="J10" i="8" s="1"/>
  <c r="K10" i="8" s="1"/>
  <c r="L10" i="8" s="1"/>
  <c r="M10" i="8" s="1"/>
  <c r="B17" i="8"/>
  <c r="C9" i="8"/>
  <c r="C17" i="8" s="1"/>
  <c r="B9" i="10"/>
  <c r="C9" i="10" s="1"/>
  <c r="N21" i="10"/>
  <c r="D16" i="10"/>
  <c r="N21" i="8"/>
  <c r="D24" i="7"/>
  <c r="E9" i="7"/>
  <c r="B29" i="7"/>
  <c r="E23" i="7"/>
  <c r="C10" i="7"/>
  <c r="N28" i="7"/>
  <c r="B20" i="8" l="1"/>
  <c r="B12" i="8"/>
  <c r="N10" i="8"/>
  <c r="C11" i="8"/>
  <c r="C12" i="8" s="1"/>
  <c r="B22" i="8"/>
  <c r="D9" i="8"/>
  <c r="D11" i="8" s="1"/>
  <c r="D12" i="8" s="1"/>
  <c r="B17" i="10"/>
  <c r="B10" i="10"/>
  <c r="E16" i="10"/>
  <c r="D9" i="10"/>
  <c r="C17" i="10"/>
  <c r="E16" i="8"/>
  <c r="E24" i="7"/>
  <c r="F9" i="7"/>
  <c r="D10" i="7"/>
  <c r="C11" i="7"/>
  <c r="C19" i="7" s="1"/>
  <c r="F23" i="7"/>
  <c r="C20" i="8" l="1"/>
  <c r="C22" i="8" s="1"/>
  <c r="C29" i="8" s="1"/>
  <c r="C32" i="8" s="1"/>
  <c r="B29" i="8"/>
  <c r="B32" i="8" s="1"/>
  <c r="D17" i="8"/>
  <c r="E9" i="8"/>
  <c r="E11" i="8" s="1"/>
  <c r="E12" i="8" s="1"/>
  <c r="C10" i="10"/>
  <c r="B11" i="10"/>
  <c r="F16" i="10"/>
  <c r="D17" i="10"/>
  <c r="E9" i="10"/>
  <c r="F16" i="8"/>
  <c r="D20" i="8"/>
  <c r="D22" i="8" s="1"/>
  <c r="G23" i="7"/>
  <c r="C27" i="7"/>
  <c r="F24" i="7"/>
  <c r="G9" i="7"/>
  <c r="E10" i="7"/>
  <c r="D11" i="7"/>
  <c r="D19" i="7" s="1"/>
  <c r="B20" i="10" l="1"/>
  <c r="B22" i="10" s="1"/>
  <c r="B29" i="10" s="1"/>
  <c r="B12" i="10"/>
  <c r="D29" i="8"/>
  <c r="D32" i="8" s="1"/>
  <c r="F9" i="8"/>
  <c r="G9" i="8" s="1"/>
  <c r="E17" i="8"/>
  <c r="D10" i="10"/>
  <c r="C11" i="10"/>
  <c r="E17" i="10"/>
  <c r="F9" i="10"/>
  <c r="G16" i="10"/>
  <c r="G16" i="8"/>
  <c r="F17" i="8"/>
  <c r="E20" i="8"/>
  <c r="D27" i="7"/>
  <c r="D29" i="7" s="1"/>
  <c r="C29" i="7"/>
  <c r="F10" i="7"/>
  <c r="E11" i="7"/>
  <c r="E19" i="7" s="1"/>
  <c r="H9" i="7"/>
  <c r="G24" i="7"/>
  <c r="H23" i="7"/>
  <c r="B31" i="10" l="1"/>
  <c r="C20" i="10"/>
  <c r="C22" i="10" s="1"/>
  <c r="C29" i="10" s="1"/>
  <c r="C12" i="10"/>
  <c r="F11" i="8"/>
  <c r="E10" i="10"/>
  <c r="D11" i="10"/>
  <c r="D12" i="10" s="1"/>
  <c r="G9" i="10"/>
  <c r="F17" i="10"/>
  <c r="H16" i="10"/>
  <c r="G17" i="8"/>
  <c r="G11" i="8"/>
  <c r="G12" i="8" s="1"/>
  <c r="H9" i="8"/>
  <c r="H16" i="8"/>
  <c r="E22" i="8"/>
  <c r="I9" i="7"/>
  <c r="H24" i="7"/>
  <c r="E27" i="7"/>
  <c r="I23" i="7"/>
  <c r="G10" i="7"/>
  <c r="F11" i="7"/>
  <c r="F19" i="7" s="1"/>
  <c r="C31" i="10" l="1"/>
  <c r="E29" i="8"/>
  <c r="E32" i="8" s="1"/>
  <c r="F20" i="8"/>
  <c r="F22" i="8" s="1"/>
  <c r="F12" i="8"/>
  <c r="D20" i="10"/>
  <c r="D22" i="10" s="1"/>
  <c r="D29" i="10" s="1"/>
  <c r="F10" i="10"/>
  <c r="E11" i="10"/>
  <c r="G17" i="10"/>
  <c r="H9" i="10"/>
  <c r="I16" i="10"/>
  <c r="I16" i="8"/>
  <c r="H17" i="8"/>
  <c r="H11" i="8"/>
  <c r="H12" i="8" s="1"/>
  <c r="I9" i="8"/>
  <c r="G20" i="8"/>
  <c r="G22" i="8" s="1"/>
  <c r="H10" i="7"/>
  <c r="G11" i="7"/>
  <c r="G19" i="7" s="1"/>
  <c r="J23" i="7"/>
  <c r="I24" i="7"/>
  <c r="J9" i="7"/>
  <c r="F27" i="7"/>
  <c r="F29" i="7" s="1"/>
  <c r="E29" i="7"/>
  <c r="D31" i="10" l="1"/>
  <c r="E20" i="10"/>
  <c r="E22" i="10" s="1"/>
  <c r="E29" i="10" s="1"/>
  <c r="E12" i="10"/>
  <c r="G29" i="8"/>
  <c r="G32" i="8" s="1"/>
  <c r="F29" i="8"/>
  <c r="F32" i="8" s="1"/>
  <c r="G10" i="10"/>
  <c r="F11" i="10"/>
  <c r="J16" i="10"/>
  <c r="H17" i="10"/>
  <c r="I9" i="10"/>
  <c r="H20" i="8"/>
  <c r="H22" i="8" s="1"/>
  <c r="J16" i="8"/>
  <c r="J9" i="8"/>
  <c r="I17" i="8"/>
  <c r="I11" i="8"/>
  <c r="I12" i="8" s="1"/>
  <c r="G27" i="7"/>
  <c r="I10" i="7"/>
  <c r="H11" i="7"/>
  <c r="H19" i="7" s="1"/>
  <c r="J24" i="7"/>
  <c r="K9" i="7"/>
  <c r="K23" i="7"/>
  <c r="E31" i="10" l="1"/>
  <c r="F20" i="10"/>
  <c r="F22" i="10" s="1"/>
  <c r="F29" i="10" s="1"/>
  <c r="F12" i="10"/>
  <c r="H29" i="8"/>
  <c r="H32" i="8" s="1"/>
  <c r="H10" i="10"/>
  <c r="G11" i="10"/>
  <c r="I17" i="10"/>
  <c r="J9" i="10"/>
  <c r="K16" i="10"/>
  <c r="J17" i="8"/>
  <c r="K9" i="8"/>
  <c r="J11" i="8"/>
  <c r="J12" i="8" s="1"/>
  <c r="I20" i="8"/>
  <c r="I22" i="8" s="1"/>
  <c r="K16" i="8"/>
  <c r="L9" i="7"/>
  <c r="K24" i="7"/>
  <c r="H27" i="7"/>
  <c r="H29" i="7" s="1"/>
  <c r="G29" i="7"/>
  <c r="L23" i="7"/>
  <c r="J10" i="7"/>
  <c r="I11" i="7"/>
  <c r="I19" i="7" s="1"/>
  <c r="F31" i="10" l="1"/>
  <c r="G20" i="10"/>
  <c r="G22" i="10" s="1"/>
  <c r="G29" i="10" s="1"/>
  <c r="G12" i="10"/>
  <c r="I29" i="8"/>
  <c r="I32" i="8" s="1"/>
  <c r="I10" i="10"/>
  <c r="H11" i="10"/>
  <c r="L16" i="10"/>
  <c r="K9" i="10"/>
  <c r="J17" i="10"/>
  <c r="K17" i="8"/>
  <c r="K11" i="8"/>
  <c r="K12" i="8" s="1"/>
  <c r="L9" i="8"/>
  <c r="L16" i="8"/>
  <c r="J20" i="8"/>
  <c r="J22" i="8" s="1"/>
  <c r="I27" i="7"/>
  <c r="I29" i="7" s="1"/>
  <c r="K10" i="7"/>
  <c r="J11" i="7"/>
  <c r="J19" i="7" s="1"/>
  <c r="M23" i="7"/>
  <c r="M9" i="7"/>
  <c r="L24" i="7"/>
  <c r="G31" i="10" l="1"/>
  <c r="H20" i="10"/>
  <c r="H22" i="10" s="1"/>
  <c r="H29" i="10" s="1"/>
  <c r="H12" i="10"/>
  <c r="J29" i="8"/>
  <c r="J32" i="8" s="1"/>
  <c r="J10" i="10"/>
  <c r="I11" i="10"/>
  <c r="L9" i="10"/>
  <c r="K17" i="10"/>
  <c r="M16" i="10"/>
  <c r="M16" i="8"/>
  <c r="L17" i="8"/>
  <c r="L11" i="8"/>
  <c r="L12" i="8" s="1"/>
  <c r="M9" i="8"/>
  <c r="K20" i="8"/>
  <c r="K22" i="8" s="1"/>
  <c r="M24" i="7"/>
  <c r="N24" i="7" s="1"/>
  <c r="N9" i="7"/>
  <c r="N23" i="7"/>
  <c r="J27" i="7"/>
  <c r="J29" i="7" s="1"/>
  <c r="L10" i="7"/>
  <c r="K11" i="7"/>
  <c r="K19" i="7" s="1"/>
  <c r="H31" i="10" l="1"/>
  <c r="I20" i="10"/>
  <c r="I22" i="10" s="1"/>
  <c r="I29" i="10" s="1"/>
  <c r="I12" i="10"/>
  <c r="K29" i="8"/>
  <c r="K32" i="8" s="1"/>
  <c r="Q9" i="7"/>
  <c r="P9" i="7"/>
  <c r="K10" i="10"/>
  <c r="J11" i="10"/>
  <c r="N16" i="10"/>
  <c r="L17" i="10"/>
  <c r="M9" i="10"/>
  <c r="M11" i="8"/>
  <c r="M12" i="8" s="1"/>
  <c r="M17" i="8"/>
  <c r="N17" i="8" s="1"/>
  <c r="N9" i="8"/>
  <c r="N16" i="8"/>
  <c r="L20" i="8"/>
  <c r="L22" i="8" s="1"/>
  <c r="K27" i="7"/>
  <c r="K29" i="7" s="1"/>
  <c r="M10" i="7"/>
  <c r="L11" i="7"/>
  <c r="L19" i="7" s="1"/>
  <c r="I31" i="10" l="1"/>
  <c r="N12" i="8"/>
  <c r="J20" i="10"/>
  <c r="J22" i="10" s="1"/>
  <c r="J29" i="10" s="1"/>
  <c r="J12" i="10"/>
  <c r="L29" i="8"/>
  <c r="L32" i="8" s="1"/>
  <c r="L10" i="10"/>
  <c r="K11" i="10"/>
  <c r="M17" i="10"/>
  <c r="N9" i="10"/>
  <c r="M20" i="8"/>
  <c r="N20" i="8" s="1"/>
  <c r="N22" i="8" s="1"/>
  <c r="N11" i="8"/>
  <c r="L27" i="7"/>
  <c r="N10" i="7"/>
  <c r="M11" i="7"/>
  <c r="M19" i="7" s="1"/>
  <c r="J31" i="10" l="1"/>
  <c r="K20" i="10"/>
  <c r="K22" i="10" s="1"/>
  <c r="K29" i="10" s="1"/>
  <c r="K12" i="10"/>
  <c r="L29" i="7"/>
  <c r="P10" i="7"/>
  <c r="Q10" i="7"/>
  <c r="M10" i="10"/>
  <c r="L11" i="10"/>
  <c r="N17" i="10"/>
  <c r="M22" i="8"/>
  <c r="M29" i="8" s="1"/>
  <c r="M32" i="8" s="1"/>
  <c r="M27" i="7"/>
  <c r="N11" i="7"/>
  <c r="N19" i="7" s="1"/>
  <c r="K31" i="10" l="1"/>
  <c r="L20" i="10"/>
  <c r="L22" i="10" s="1"/>
  <c r="L29" i="10" s="1"/>
  <c r="L12" i="10"/>
  <c r="N29" i="8"/>
  <c r="N10" i="10"/>
  <c r="M11" i="10"/>
  <c r="N11" i="10" s="1"/>
  <c r="N27" i="7"/>
  <c r="N29" i="7" s="1"/>
  <c r="M29" i="7"/>
  <c r="L31" i="10" l="1"/>
  <c r="M20" i="10"/>
  <c r="N20" i="10" s="1"/>
  <c r="N22" i="10" s="1"/>
  <c r="M12" i="10"/>
  <c r="N45" i="7"/>
  <c r="N46" i="7" s="1"/>
  <c r="N47" i="7" s="1"/>
  <c r="N48" i="7" s="1"/>
  <c r="M22" i="10" l="1"/>
  <c r="M29" i="10" s="1"/>
  <c r="N29" i="10" s="1"/>
  <c r="N12" i="10"/>
  <c r="P5" i="3"/>
  <c r="P8" i="3"/>
  <c r="P9" i="3"/>
  <c r="P12" i="3"/>
  <c r="F10" i="5"/>
  <c r="M31" i="10" l="1"/>
  <c r="B39" i="1"/>
  <c r="C10" i="5"/>
  <c r="F6" i="5"/>
  <c r="G7" i="5"/>
  <c r="B11" i="5" s="1"/>
  <c r="D10" i="5"/>
  <c r="E10" i="5" l="1"/>
  <c r="B32" i="7"/>
  <c r="B12" i="5"/>
  <c r="C11" i="5"/>
  <c r="C12" i="5" s="1"/>
  <c r="F11" i="5"/>
  <c r="G6" i="5"/>
  <c r="N32" i="7" l="1"/>
  <c r="G10" i="5"/>
  <c r="D11" i="5" s="1"/>
  <c r="E11" i="5" s="1"/>
  <c r="B33" i="7"/>
  <c r="B13" i="5"/>
  <c r="C13" i="5" s="1"/>
  <c r="F12" i="5"/>
  <c r="B37" i="7" l="1"/>
  <c r="B39" i="7" s="1"/>
  <c r="B40" i="7" s="1"/>
  <c r="B42" i="7" s="1"/>
  <c r="C41" i="7" s="1"/>
  <c r="G11" i="5"/>
  <c r="C33" i="7"/>
  <c r="C37" i="7" s="1"/>
  <c r="F13" i="5"/>
  <c r="B14" i="5"/>
  <c r="D12" i="5"/>
  <c r="E12" i="5" s="1"/>
  <c r="G12" i="5" l="1"/>
  <c r="D33" i="7"/>
  <c r="D37" i="7" s="1"/>
  <c r="C40" i="7"/>
  <c r="C42" i="7" s="1"/>
  <c r="C39" i="7"/>
  <c r="D13" i="5"/>
  <c r="E13" i="5" s="1"/>
  <c r="B15" i="5"/>
  <c r="C14" i="5"/>
  <c r="F14" i="5"/>
  <c r="G13" i="5" l="1"/>
  <c r="E33" i="7"/>
  <c r="E37" i="7" s="1"/>
  <c r="D39" i="7"/>
  <c r="D40" i="7"/>
  <c r="D14" i="5"/>
  <c r="E14" i="5" s="1"/>
  <c r="F15" i="5"/>
  <c r="B16" i="5"/>
  <c r="C15" i="5"/>
  <c r="E40" i="7" l="1"/>
  <c r="E39" i="7"/>
  <c r="G14" i="5"/>
  <c r="F33" i="7"/>
  <c r="F37" i="7" s="1"/>
  <c r="D15" i="5"/>
  <c r="E15" i="5" s="1"/>
  <c r="B17" i="5"/>
  <c r="F16" i="5"/>
  <c r="C16" i="5"/>
  <c r="F39" i="7" l="1"/>
  <c r="F40" i="7"/>
  <c r="G15" i="5"/>
  <c r="D16" i="5" s="1"/>
  <c r="E16" i="5" s="1"/>
  <c r="G33" i="7"/>
  <c r="G37" i="7" s="1"/>
  <c r="B18" i="5"/>
  <c r="F17" i="5"/>
  <c r="C17" i="5"/>
  <c r="G16" i="5" l="1"/>
  <c r="H33" i="7"/>
  <c r="H37" i="7" s="1"/>
  <c r="G40" i="7"/>
  <c r="G39" i="7"/>
  <c r="D17" i="5"/>
  <c r="E17" i="5" s="1"/>
  <c r="F18" i="5"/>
  <c r="B19" i="5"/>
  <c r="C18" i="5"/>
  <c r="H40" i="7" l="1"/>
  <c r="H39" i="7"/>
  <c r="G17" i="5"/>
  <c r="I33" i="7"/>
  <c r="I37" i="7" s="1"/>
  <c r="D18" i="5"/>
  <c r="E18" i="5" s="1"/>
  <c r="B20" i="5"/>
  <c r="C19" i="5"/>
  <c r="F19" i="5"/>
  <c r="I40" i="7" l="1"/>
  <c r="I39" i="7"/>
  <c r="G18" i="5"/>
  <c r="J33" i="7"/>
  <c r="J37" i="7" s="1"/>
  <c r="D19" i="5"/>
  <c r="E19" i="5" s="1"/>
  <c r="F20" i="5"/>
  <c r="B21" i="5"/>
  <c r="C20" i="5"/>
  <c r="J40" i="7" l="1"/>
  <c r="J39" i="7"/>
  <c r="G19" i="5"/>
  <c r="D20" i="5" s="1"/>
  <c r="E20" i="5" s="1"/>
  <c r="K33" i="7"/>
  <c r="K37" i="7" s="1"/>
  <c r="B22" i="5"/>
  <c r="C21" i="5"/>
  <c r="F21" i="5"/>
  <c r="K40" i="7" l="1"/>
  <c r="K39" i="7"/>
  <c r="G20" i="5"/>
  <c r="L33" i="7"/>
  <c r="L37" i="7" s="1"/>
  <c r="D21" i="5"/>
  <c r="E21" i="5" s="1"/>
  <c r="F22" i="5"/>
  <c r="B23" i="5"/>
  <c r="C22" i="5"/>
  <c r="L40" i="7" l="1"/>
  <c r="L39" i="7"/>
  <c r="G21" i="5"/>
  <c r="D22" i="5" s="1"/>
  <c r="E22" i="5" s="1"/>
  <c r="G22" i="5" s="1"/>
  <c r="M33" i="7"/>
  <c r="C23" i="5"/>
  <c r="F23" i="5"/>
  <c r="B24" i="5"/>
  <c r="M37" i="7" l="1"/>
  <c r="N33" i="7"/>
  <c r="N37" i="7" s="1"/>
  <c r="D23" i="5"/>
  <c r="E23" i="5" s="1"/>
  <c r="G23" i="5" s="1"/>
  <c r="D24" i="5" s="1"/>
  <c r="B25" i="5"/>
  <c r="C24" i="5"/>
  <c r="F24" i="5"/>
  <c r="M39" i="7" l="1"/>
  <c r="N39" i="7" s="1"/>
  <c r="M40" i="7"/>
  <c r="N40" i="7" s="1"/>
  <c r="E24" i="5"/>
  <c r="G24" i="5" s="1"/>
  <c r="D25" i="5" s="1"/>
  <c r="C25" i="5"/>
  <c r="F25" i="5"/>
  <c r="B26" i="5"/>
  <c r="E25" i="5" l="1"/>
  <c r="G25" i="5" s="1"/>
  <c r="D26" i="5" s="1"/>
  <c r="B27" i="5"/>
  <c r="C26" i="5"/>
  <c r="F26" i="5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C27" i="5" l="1"/>
  <c r="B28" i="5"/>
  <c r="E26" i="5"/>
  <c r="G26" i="5" s="1"/>
  <c r="D27" i="5" s="1"/>
  <c r="E27" i="5" s="1"/>
  <c r="G27" i="5" s="1"/>
  <c r="B29" i="5" l="1"/>
  <c r="D28" i="5"/>
  <c r="E28" i="5" s="1"/>
  <c r="G28" i="5" s="1"/>
  <c r="C28" i="5"/>
  <c r="C29" i="5" l="1"/>
  <c r="D29" i="5"/>
  <c r="E29" i="5" s="1"/>
  <c r="G29" i="5" s="1"/>
  <c r="B30" i="5"/>
  <c r="B31" i="5" l="1"/>
  <c r="D30" i="5"/>
  <c r="E30" i="5" s="1"/>
  <c r="C30" i="5"/>
  <c r="G30" i="5" l="1"/>
  <c r="C31" i="5"/>
  <c r="B32" i="5"/>
  <c r="D31" i="5" l="1"/>
  <c r="E31" i="5" s="1"/>
  <c r="G31" i="5" s="1"/>
  <c r="B33" i="5"/>
  <c r="C32" i="5"/>
  <c r="D32" i="5" l="1"/>
  <c r="E32" i="5" s="1"/>
  <c r="G32" i="5" s="1"/>
  <c r="C33" i="5"/>
  <c r="B34" i="5"/>
  <c r="D33" i="5" l="1"/>
  <c r="E33" i="5" s="1"/>
  <c r="B35" i="5"/>
  <c r="C34" i="5"/>
  <c r="C35" i="5" l="1"/>
  <c r="B36" i="5"/>
  <c r="G33" i="5"/>
  <c r="B37" i="5" l="1"/>
  <c r="C36" i="5"/>
  <c r="D34" i="5"/>
  <c r="E34" i="5" s="1"/>
  <c r="G34" i="5" s="1"/>
  <c r="D35" i="5" l="1"/>
  <c r="E35" i="5" s="1"/>
  <c r="G35" i="5" s="1"/>
  <c r="C37" i="5"/>
  <c r="B38" i="5"/>
  <c r="D36" i="5" l="1"/>
  <c r="E36" i="5" s="1"/>
  <c r="G36" i="5" s="1"/>
  <c r="B39" i="5"/>
  <c r="C38" i="5"/>
  <c r="D37" i="5" l="1"/>
  <c r="E37" i="5" s="1"/>
  <c r="G37" i="5" s="1"/>
  <c r="C39" i="5"/>
  <c r="B40" i="5"/>
  <c r="D38" i="5" l="1"/>
  <c r="E38" i="5" s="1"/>
  <c r="G38" i="5" s="1"/>
  <c r="B41" i="5"/>
  <c r="C40" i="5"/>
  <c r="D39" i="5" l="1"/>
  <c r="E39" i="5" s="1"/>
  <c r="G39" i="5" s="1"/>
  <c r="C41" i="5"/>
  <c r="B42" i="5"/>
  <c r="D40" i="5" l="1"/>
  <c r="E40" i="5" s="1"/>
  <c r="G40" i="5" s="1"/>
  <c r="B43" i="5"/>
  <c r="C42" i="5"/>
  <c r="D41" i="5" l="1"/>
  <c r="E41" i="5" s="1"/>
  <c r="G41" i="5" s="1"/>
  <c r="C43" i="5"/>
  <c r="B44" i="5"/>
  <c r="D42" i="5" l="1"/>
  <c r="E42" i="5" s="1"/>
  <c r="G42" i="5" s="1"/>
  <c r="B45" i="5"/>
  <c r="C44" i="5"/>
  <c r="D43" i="5" l="1"/>
  <c r="E43" i="5" s="1"/>
  <c r="C45" i="5"/>
  <c r="G43" i="5" l="1"/>
  <c r="D44" i="5" s="1"/>
  <c r="E44" i="5" s="1"/>
  <c r="G44" i="5" s="1"/>
  <c r="D45" i="5" l="1"/>
  <c r="E45" i="5" s="1"/>
  <c r="G45" i="5" s="1"/>
  <c r="I44" i="3" l="1"/>
  <c r="J38" i="3"/>
  <c r="J39" i="3"/>
  <c r="J40" i="3"/>
  <c r="J42" i="3"/>
  <c r="J43" i="3"/>
  <c r="J44" i="3"/>
  <c r="J45" i="3"/>
  <c r="J47" i="3"/>
  <c r="J48" i="3"/>
  <c r="I38" i="3"/>
  <c r="I39" i="3"/>
  <c r="I42" i="3"/>
  <c r="I43" i="3"/>
  <c r="I45" i="3"/>
  <c r="I47" i="3"/>
  <c r="I48" i="3"/>
  <c r="I37" i="3"/>
  <c r="J24" i="3"/>
  <c r="N7" i="3"/>
  <c r="D8" i="3"/>
  <c r="B22" i="3" l="1"/>
  <c r="B62" i="3" s="1"/>
  <c r="F107" i="2" l="1"/>
  <c r="F106" i="2" s="1"/>
  <c r="F105" i="2" s="1"/>
  <c r="F104" i="2" s="1"/>
  <c r="F103" i="2" s="1"/>
  <c r="F102" i="2" s="1"/>
  <c r="F101" i="2" s="1"/>
  <c r="F108" i="2"/>
  <c r="F110" i="2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B8" i="3" l="1"/>
  <c r="B34" i="3" l="1"/>
  <c r="B40" i="3"/>
  <c r="I40" i="3" s="1"/>
  <c r="F34" i="3"/>
  <c r="D34" i="3"/>
  <c r="B23" i="3"/>
  <c r="D3" i="3"/>
  <c r="D22" i="3" s="1"/>
  <c r="D62" i="3" s="1"/>
  <c r="B29" i="3" l="1"/>
  <c r="I23" i="3"/>
  <c r="F3" i="3"/>
  <c r="F22" i="3" s="1"/>
  <c r="F62" i="3" s="1"/>
  <c r="B36" i="3"/>
  <c r="C23" i="3" s="1"/>
  <c r="J8" i="3"/>
  <c r="I8" i="3"/>
  <c r="B70" i="3" l="1"/>
  <c r="C70" i="3" s="1"/>
  <c r="B71" i="3"/>
  <c r="C71" i="3" s="1"/>
  <c r="F6" i="3"/>
  <c r="D6" i="3"/>
  <c r="D11" i="3" s="1"/>
  <c r="D13" i="3" s="1"/>
  <c r="D54" i="3"/>
  <c r="B54" i="3"/>
  <c r="B73" i="3" s="1"/>
  <c r="F46" i="3"/>
  <c r="D46" i="3"/>
  <c r="B46" i="3"/>
  <c r="F41" i="3"/>
  <c r="D41" i="3"/>
  <c r="B41" i="3"/>
  <c r="B65" i="3" s="1"/>
  <c r="J33" i="3"/>
  <c r="J32" i="3"/>
  <c r="J28" i="3"/>
  <c r="J27" i="3"/>
  <c r="I33" i="3"/>
  <c r="I32" i="3"/>
  <c r="I28" i="3"/>
  <c r="I27" i="3"/>
  <c r="F29" i="3"/>
  <c r="D29" i="3"/>
  <c r="C4" i="3"/>
  <c r="C5" i="3"/>
  <c r="B6" i="3"/>
  <c r="C6" i="3" s="1"/>
  <c r="B66" i="3" l="1"/>
  <c r="B69" i="3" s="1"/>
  <c r="B64" i="3"/>
  <c r="D36" i="3"/>
  <c r="D70" i="3" s="1"/>
  <c r="E70" i="3" s="1"/>
  <c r="D71" i="3"/>
  <c r="E71" i="3" s="1"/>
  <c r="F36" i="3"/>
  <c r="F70" i="3" s="1"/>
  <c r="G70" i="3" s="1"/>
  <c r="F71" i="3"/>
  <c r="G71" i="3" s="1"/>
  <c r="F11" i="3"/>
  <c r="P6" i="3"/>
  <c r="C73" i="3"/>
  <c r="J41" i="3"/>
  <c r="J46" i="3"/>
  <c r="I46" i="3"/>
  <c r="I41" i="3"/>
  <c r="D14" i="3"/>
  <c r="D66" i="3"/>
  <c r="F66" i="3"/>
  <c r="F69" i="3" s="1"/>
  <c r="G69" i="3" s="1"/>
  <c r="D73" i="3"/>
  <c r="D64" i="3"/>
  <c r="E64" i="3" s="1"/>
  <c r="B49" i="3"/>
  <c r="D65" i="3"/>
  <c r="E65" i="3" s="1"/>
  <c r="B11" i="3"/>
  <c r="B13" i="3" s="1"/>
  <c r="F65" i="3"/>
  <c r="G65" i="3" s="1"/>
  <c r="F64" i="3"/>
  <c r="G64" i="3" s="1"/>
  <c r="C64" i="3"/>
  <c r="C65" i="3"/>
  <c r="E29" i="3"/>
  <c r="B75" i="3" l="1"/>
  <c r="B76" i="3"/>
  <c r="C76" i="3" s="1"/>
  <c r="E73" i="3"/>
  <c r="E74" i="3"/>
  <c r="F13" i="3"/>
  <c r="P11" i="3"/>
  <c r="B55" i="3"/>
  <c r="C74" i="3"/>
  <c r="C69" i="3"/>
  <c r="D67" i="3"/>
  <c r="E67" i="3" s="1"/>
  <c r="D69" i="3"/>
  <c r="E69" i="3" s="1"/>
  <c r="B14" i="3"/>
  <c r="B15" i="3" s="1"/>
  <c r="G24" i="3"/>
  <c r="F67" i="3"/>
  <c r="G67" i="3" s="1"/>
  <c r="C31" i="3"/>
  <c r="G34" i="3"/>
  <c r="G26" i="3"/>
  <c r="G31" i="3"/>
  <c r="G27" i="3"/>
  <c r="G30" i="3"/>
  <c r="G29" i="3"/>
  <c r="G25" i="3"/>
  <c r="G23" i="3"/>
  <c r="G32" i="3"/>
  <c r="C35" i="3"/>
  <c r="C29" i="3"/>
  <c r="C25" i="3"/>
  <c r="C28" i="3"/>
  <c r="C30" i="3"/>
  <c r="C32" i="3"/>
  <c r="C27" i="3"/>
  <c r="C34" i="3"/>
  <c r="C24" i="3"/>
  <c r="C33" i="3"/>
  <c r="C26" i="3"/>
  <c r="G28" i="3"/>
  <c r="G33" i="3"/>
  <c r="E23" i="3"/>
  <c r="E27" i="3"/>
  <c r="E31" i="3"/>
  <c r="E30" i="3"/>
  <c r="E24" i="3"/>
  <c r="E28" i="3"/>
  <c r="E32" i="3"/>
  <c r="E25" i="3"/>
  <c r="E33" i="3"/>
  <c r="E26" i="3"/>
  <c r="E34" i="3"/>
  <c r="B67" i="3" l="1"/>
  <c r="C67" i="3" s="1"/>
  <c r="C37" i="3"/>
  <c r="C46" i="3"/>
  <c r="P13" i="3"/>
  <c r="J13" i="3"/>
  <c r="F14" i="3"/>
  <c r="N29" i="3"/>
  <c r="N31" i="3"/>
  <c r="N24" i="3"/>
  <c r="B57" i="3"/>
  <c r="N30" i="3"/>
  <c r="N28" i="3"/>
  <c r="N26" i="3"/>
  <c r="N27" i="3"/>
  <c r="N23" i="3"/>
  <c r="N34" i="3"/>
  <c r="N33" i="3"/>
  <c r="N32" i="3"/>
  <c r="N25" i="3"/>
  <c r="C36" i="3"/>
  <c r="C45" i="3"/>
  <c r="C53" i="3"/>
  <c r="C43" i="3"/>
  <c r="C51" i="3"/>
  <c r="C38" i="3"/>
  <c r="C42" i="3"/>
  <c r="C50" i="3"/>
  <c r="C54" i="3"/>
  <c r="C39" i="3"/>
  <c r="C47" i="3"/>
  <c r="C40" i="3"/>
  <c r="C44" i="3"/>
  <c r="C48" i="3"/>
  <c r="C52" i="3"/>
  <c r="C41" i="3"/>
  <c r="C49" i="3" l="1"/>
  <c r="F15" i="3"/>
  <c r="P14" i="3"/>
  <c r="C55" i="3"/>
  <c r="P15" i="3" l="1"/>
  <c r="I31" i="3"/>
  <c r="J31" i="3"/>
  <c r="L31" i="3" l="1"/>
  <c r="J53" i="3" l="1"/>
  <c r="I53" i="3"/>
  <c r="J52" i="3"/>
  <c r="I52" i="3"/>
  <c r="I50" i="3"/>
  <c r="F54" i="3"/>
  <c r="F73" i="3" s="1"/>
  <c r="G73" i="3" s="1"/>
  <c r="J37" i="3"/>
  <c r="J35" i="3"/>
  <c r="I35" i="3"/>
  <c r="J30" i="3"/>
  <c r="I30" i="3"/>
  <c r="J26" i="3"/>
  <c r="I26" i="3"/>
  <c r="J25" i="3"/>
  <c r="I25" i="3"/>
  <c r="I24" i="3"/>
  <c r="L24" i="3" s="1"/>
  <c r="J23" i="3"/>
  <c r="J12" i="3"/>
  <c r="I12" i="3"/>
  <c r="G12" i="3"/>
  <c r="E12" i="3"/>
  <c r="C12" i="3"/>
  <c r="J10" i="3"/>
  <c r="I10" i="3"/>
  <c r="G10" i="3"/>
  <c r="E10" i="3"/>
  <c r="C10" i="3"/>
  <c r="J9" i="3"/>
  <c r="I9" i="3"/>
  <c r="G9" i="3"/>
  <c r="E9" i="3"/>
  <c r="C9" i="3"/>
  <c r="G8" i="3"/>
  <c r="E8" i="3"/>
  <c r="C8" i="3"/>
  <c r="G11" i="3"/>
  <c r="C11" i="3"/>
  <c r="J5" i="3"/>
  <c r="G5" i="3"/>
  <c r="E5" i="3"/>
  <c r="L4" i="3"/>
  <c r="G4" i="3"/>
  <c r="E4" i="3"/>
  <c r="N8" i="3" l="1"/>
  <c r="N10" i="3"/>
  <c r="N12" i="3"/>
  <c r="N5" i="3"/>
  <c r="N9" i="3"/>
  <c r="G74" i="3"/>
  <c r="F49" i="3"/>
  <c r="D49" i="3"/>
  <c r="D55" i="3" s="1"/>
  <c r="I6" i="3"/>
  <c r="L52" i="3"/>
  <c r="G6" i="3"/>
  <c r="L9" i="3"/>
  <c r="J50" i="3"/>
  <c r="J6" i="3"/>
  <c r="L5" i="3"/>
  <c r="E6" i="3"/>
  <c r="N6" i="3" s="1"/>
  <c r="L10" i="3"/>
  <c r="I29" i="3"/>
  <c r="J29" i="3"/>
  <c r="I34" i="3"/>
  <c r="J34" i="3"/>
  <c r="L37" i="3"/>
  <c r="L47" i="3"/>
  <c r="L23" i="3"/>
  <c r="L53" i="3"/>
  <c r="L8" i="3"/>
  <c r="L12" i="3"/>
  <c r="L26" i="3"/>
  <c r="L30" i="3"/>
  <c r="L25" i="3"/>
  <c r="J54" i="3"/>
  <c r="I54" i="3"/>
  <c r="B46" i="1"/>
  <c r="C44" i="1"/>
  <c r="C41" i="1"/>
  <c r="E40" i="3" l="1"/>
  <c r="E44" i="3"/>
  <c r="E48" i="3"/>
  <c r="E53" i="3"/>
  <c r="E47" i="3"/>
  <c r="E37" i="3"/>
  <c r="E45" i="3"/>
  <c r="E50" i="3"/>
  <c r="E39" i="3"/>
  <c r="E52" i="3"/>
  <c r="E38" i="3"/>
  <c r="E42" i="3"/>
  <c r="E51" i="3"/>
  <c r="E43" i="3"/>
  <c r="E54" i="3"/>
  <c r="E46" i="3"/>
  <c r="E41" i="3"/>
  <c r="F76" i="3"/>
  <c r="G76" i="3" s="1"/>
  <c r="F75" i="3"/>
  <c r="G75" i="3" s="1"/>
  <c r="D75" i="3"/>
  <c r="E75" i="3" s="1"/>
  <c r="D76" i="3"/>
  <c r="E76" i="3" s="1"/>
  <c r="C75" i="3"/>
  <c r="L6" i="3"/>
  <c r="J36" i="3"/>
  <c r="J11" i="3"/>
  <c r="I11" i="3"/>
  <c r="E13" i="3"/>
  <c r="E11" i="3"/>
  <c r="N11" i="3" s="1"/>
  <c r="L29" i="3"/>
  <c r="G35" i="3"/>
  <c r="G36" i="3" s="1"/>
  <c r="J49" i="3"/>
  <c r="F55" i="3"/>
  <c r="C13" i="3"/>
  <c r="C14" i="3"/>
  <c r="E14" i="3"/>
  <c r="I49" i="3"/>
  <c r="D57" i="3"/>
  <c r="I55" i="3"/>
  <c r="I36" i="3"/>
  <c r="E35" i="3"/>
  <c r="L48" i="3"/>
  <c r="G13" i="3"/>
  <c r="I13" i="3"/>
  <c r="C25" i="1"/>
  <c r="C28" i="1"/>
  <c r="B59" i="1" s="1"/>
  <c r="C30" i="1"/>
  <c r="B61" i="1" s="1"/>
  <c r="C29" i="1"/>
  <c r="B60" i="1" s="1"/>
  <c r="C27" i="1"/>
  <c r="B58" i="1" s="1"/>
  <c r="C11" i="1"/>
  <c r="B52" i="1" s="1"/>
  <c r="C21" i="1"/>
  <c r="C8" i="1"/>
  <c r="B53" i="1" s="1"/>
  <c r="C18" i="1"/>
  <c r="B55" i="1" s="1"/>
  <c r="N13" i="3" l="1"/>
  <c r="E36" i="3"/>
  <c r="N36" i="3" s="1"/>
  <c r="N35" i="3"/>
  <c r="E49" i="3"/>
  <c r="E55" i="3" s="1"/>
  <c r="G40" i="3"/>
  <c r="G44" i="3"/>
  <c r="G53" i="3"/>
  <c r="G47" i="3"/>
  <c r="G37" i="3"/>
  <c r="N37" i="3" s="1"/>
  <c r="G45" i="3"/>
  <c r="G50" i="3"/>
  <c r="G54" i="3"/>
  <c r="G39" i="3"/>
  <c r="G52" i="3"/>
  <c r="G38" i="3"/>
  <c r="G42" i="3"/>
  <c r="G46" i="3"/>
  <c r="G51" i="3"/>
  <c r="G43" i="3"/>
  <c r="G41" i="3"/>
  <c r="G48" i="3"/>
  <c r="D16" i="3"/>
  <c r="E16" i="3" s="1"/>
  <c r="L34" i="3"/>
  <c r="L36" i="3"/>
  <c r="L35" i="3"/>
  <c r="L11" i="3"/>
  <c r="L13" i="3"/>
  <c r="J14" i="3"/>
  <c r="G14" i="3"/>
  <c r="N14" i="3" s="1"/>
  <c r="F16" i="3"/>
  <c r="I14" i="3"/>
  <c r="C15" i="3"/>
  <c r="L50" i="3"/>
  <c r="J55" i="3"/>
  <c r="F57" i="3"/>
  <c r="L49" i="3"/>
  <c r="E15" i="3"/>
  <c r="C19" i="1"/>
  <c r="B56" i="1" s="1"/>
  <c r="C17" i="1"/>
  <c r="B54" i="1" s="1"/>
  <c r="C12" i="1"/>
  <c r="B50" i="1" s="1"/>
  <c r="F79" i="3" l="1"/>
  <c r="D78" i="3"/>
  <c r="E78" i="3" s="1"/>
  <c r="J16" i="3"/>
  <c r="G49" i="3"/>
  <c r="G55" i="3" s="1"/>
  <c r="D79" i="3"/>
  <c r="E79" i="3" s="1"/>
  <c r="D80" i="3"/>
  <c r="E80" i="3" s="1"/>
  <c r="E17" i="3"/>
  <c r="F78" i="3"/>
  <c r="G78" i="3" s="1"/>
  <c r="F80" i="3"/>
  <c r="G80" i="3" s="1"/>
  <c r="G79" i="3"/>
  <c r="B16" i="3"/>
  <c r="I15" i="3"/>
  <c r="G15" i="3"/>
  <c r="N15" i="3" s="1"/>
  <c r="N49" i="3"/>
  <c r="G16" i="3"/>
  <c r="L54" i="3"/>
  <c r="N54" i="3"/>
  <c r="L14" i="3"/>
  <c r="B79" i="3" l="1"/>
  <c r="B78" i="3"/>
  <c r="C78" i="3" s="1"/>
  <c r="B80" i="3"/>
  <c r="C16" i="3"/>
  <c r="I16" i="3"/>
  <c r="L16" i="3" s="1"/>
  <c r="G17" i="3"/>
  <c r="C80" i="3"/>
  <c r="C79" i="3"/>
  <c r="L15" i="3"/>
  <c r="N52" i="3"/>
  <c r="N47" i="3"/>
  <c r="L55" i="3"/>
  <c r="N55" i="3"/>
  <c r="N53" i="3"/>
  <c r="N48" i="3"/>
  <c r="N50" i="3"/>
  <c r="C17" i="3" l="1"/>
  <c r="N16" i="3"/>
  <c r="D41" i="7" l="1"/>
  <c r="D42" i="7" s="1"/>
  <c r="E41" i="7" s="1"/>
  <c r="E42" i="7" s="1"/>
  <c r="F41" i="7" s="1"/>
  <c r="F42" i="7" s="1"/>
  <c r="G41" i="7" s="1"/>
  <c r="G42" i="7" s="1"/>
  <c r="H41" i="7" s="1"/>
  <c r="H42" i="7" s="1"/>
  <c r="I41" i="7" s="1"/>
  <c r="I42" i="7" s="1"/>
  <c r="J41" i="7" s="1"/>
  <c r="J42" i="7" s="1"/>
  <c r="K41" i="7" s="1"/>
  <c r="K42" i="7" s="1"/>
  <c r="L41" i="7" s="1"/>
  <c r="L42" i="7" s="1"/>
  <c r="M41" i="7" s="1"/>
  <c r="D49" i="7" s="1"/>
  <c r="M42" i="7" l="1"/>
  <c r="D51" i="7"/>
  <c r="D52" i="7" s="1"/>
  <c r="B33" i="8" l="1"/>
  <c r="B34" i="8" s="1"/>
  <c r="D53" i="7"/>
  <c r="C34" i="8" l="1"/>
  <c r="D33" i="8" s="1"/>
  <c r="D34" i="8" s="1"/>
  <c r="E33" i="8" s="1"/>
  <c r="E34" i="8" s="1"/>
  <c r="F33" i="8" s="1"/>
  <c r="F34" i="8" s="1"/>
  <c r="G33" i="8" s="1"/>
  <c r="G34" i="8" s="1"/>
  <c r="H33" i="8" s="1"/>
  <c r="H34" i="8" s="1"/>
  <c r="I33" i="8" s="1"/>
  <c r="I34" i="8" s="1"/>
  <c r="J33" i="8" s="1"/>
  <c r="J34" i="8" s="1"/>
  <c r="K33" i="8" s="1"/>
  <c r="K34" i="8" s="1"/>
  <c r="L33" i="8" s="1"/>
  <c r="L34" i="8" s="1"/>
  <c r="M33" i="8" s="1"/>
  <c r="C33" i="8"/>
  <c r="D54" i="7"/>
  <c r="D55" i="7" s="1"/>
  <c r="D56" i="7" s="1"/>
  <c r="D41" i="8" l="1"/>
  <c r="D43" i="8" s="1"/>
  <c r="D44" i="8" s="1"/>
  <c r="D45" i="8" s="1"/>
  <c r="D46" i="8" s="1"/>
  <c r="D47" i="8" s="1"/>
  <c r="D48" i="8" s="1"/>
  <c r="M34" i="8"/>
  <c r="B32" i="10" l="1"/>
  <c r="B33" i="10" s="1"/>
  <c r="C33" i="10" l="1"/>
  <c r="D32" i="10" s="1"/>
  <c r="D33" i="10" s="1"/>
  <c r="E32" i="10" s="1"/>
  <c r="E33" i="10" s="1"/>
  <c r="F32" i="10" s="1"/>
  <c r="F33" i="10" s="1"/>
  <c r="G32" i="10" s="1"/>
  <c r="G33" i="10" s="1"/>
  <c r="H32" i="10" s="1"/>
  <c r="H33" i="10" s="1"/>
  <c r="I32" i="10" s="1"/>
  <c r="I33" i="10" s="1"/>
  <c r="J32" i="10" s="1"/>
  <c r="J33" i="10" s="1"/>
  <c r="K32" i="10" s="1"/>
  <c r="K33" i="10" s="1"/>
  <c r="L32" i="10" s="1"/>
  <c r="L33" i="10" s="1"/>
  <c r="M32" i="10" s="1"/>
  <c r="C32" i="10"/>
  <c r="M33" i="10" l="1"/>
</calcChain>
</file>

<file path=xl/comments1.xml><?xml version="1.0" encoding="utf-8"?>
<comments xmlns="http://schemas.openxmlformats.org/spreadsheetml/2006/main">
  <authors>
    <author>Pato</author>
  </authors>
  <commentList>
    <comment ref="B7" authorId="0" shapeId="0">
      <text>
        <r>
          <rPr>
            <sz val="9"/>
            <color indexed="81"/>
            <rFont val="Tahoma"/>
            <family val="2"/>
          </rPr>
          <t xml:space="preserve">Personas Naturales: Nombre y Apellido Completo.
Personas Jurídicas: Nombre legal de la empresa.
</t>
        </r>
      </text>
    </comment>
  </commentList>
</comments>
</file>

<file path=xl/comments2.xml><?xml version="1.0" encoding="utf-8"?>
<comments xmlns="http://schemas.openxmlformats.org/spreadsheetml/2006/main">
  <authors>
    <author>SJURADO</author>
  </authors>
  <commentList>
    <comment ref="A65" authorId="0" shapeId="0">
      <text>
        <r>
          <rPr>
            <b/>
            <sz val="9"/>
            <color indexed="81"/>
            <rFont val="Tahoma"/>
            <family val="2"/>
          </rPr>
          <t xml:space="preserve">Mayor importancia en emp. Comerciales e industriales. (Ac-Ivt)/Psv C
 </t>
        </r>
      </text>
    </comment>
    <comment ref="A66" authorId="0" shapeId="0">
      <text>
        <r>
          <rPr>
            <sz val="9"/>
            <color indexed="81"/>
            <rFont val="Tahoma"/>
            <family val="2"/>
          </rPr>
          <t xml:space="preserve">Act C.- Psv C
</t>
        </r>
      </text>
    </comment>
    <comment ref="A67" authorId="0" shapeId="0">
      <text>
        <r>
          <rPr>
            <sz val="9"/>
            <color indexed="81"/>
            <rFont val="Tahoma"/>
            <family val="2"/>
          </rPr>
          <t xml:space="preserve">INDICA NIVEL DE LIQUIDEZ
</t>
        </r>
      </text>
    </comment>
    <comment ref="A69" authorId="0" shapeId="0">
      <text>
        <r>
          <rPr>
            <b/>
            <sz val="9"/>
            <color indexed="81"/>
            <rFont val="Tahoma"/>
            <family val="2"/>
          </rPr>
          <t xml:space="preserve"># DE VECES QUE REPRESENTA LA INVERSION X 1$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0" authorId="0" shapeId="0">
      <text>
        <r>
          <rPr>
            <b/>
            <sz val="9"/>
            <color indexed="81"/>
            <rFont val="Tahoma"/>
            <family val="2"/>
          </rPr>
          <t>MAYOR NUMERO MEJOR; ES DECIR MENOR INVERSION</t>
        </r>
      </text>
    </comment>
    <comment ref="A73" authorId="0" shapeId="0">
      <text>
        <r>
          <rPr>
            <sz val="9"/>
            <color indexed="81"/>
            <rFont val="Tahoma"/>
            <family val="2"/>
          </rPr>
          <t xml:space="preserve">VALOR DE DEUDA POR CADA DÓLAR
</t>
        </r>
      </text>
    </comment>
    <comment ref="A74" authorId="0" shapeId="0">
      <text>
        <r>
          <rPr>
            <sz val="9"/>
            <color indexed="81"/>
            <rFont val="Tahoma"/>
            <family val="2"/>
          </rPr>
          <t xml:space="preserve">X CADA 1$ CE CAPITAL SE DEBE X%
</t>
        </r>
      </text>
    </comment>
    <comment ref="A75" authorId="0" shapeId="0">
      <text>
        <r>
          <rPr>
            <b/>
            <sz val="9"/>
            <color indexed="81"/>
            <rFont val="Tahoma"/>
            <family val="2"/>
          </rPr>
          <t>CUENTAS VECES SE CUBRE EL INTERES</t>
        </r>
      </text>
    </comment>
  </commentList>
</comments>
</file>

<file path=xl/sharedStrings.xml><?xml version="1.0" encoding="utf-8"?>
<sst xmlns="http://schemas.openxmlformats.org/spreadsheetml/2006/main" count="474" uniqueCount="281">
  <si>
    <t>FECHA DE INGRESO:</t>
  </si>
  <si>
    <t>BANCA:</t>
  </si>
  <si>
    <t>SEGMENTO:</t>
  </si>
  <si>
    <t>NIVEL DE VENTAS:</t>
  </si>
  <si>
    <t>NOMBRE  COMPLETO</t>
  </si>
  <si>
    <t>TIPO DE IDENTIFICACION</t>
  </si>
  <si>
    <t>IDENTIFICACION</t>
  </si>
  <si>
    <t>DIRECCION DEL NEGOCIO</t>
  </si>
  <si>
    <t>ACTIVIDAD</t>
  </si>
  <si>
    <t>AÑOS EXPERIENCIA EN ACTIVIDAD</t>
  </si>
  <si>
    <t>PATRIMONIO DEL CLIENTE</t>
  </si>
  <si>
    <t>CAPITAL SOCIAL (Personas Jurídicas)</t>
  </si>
  <si>
    <t>VERIFICACION DE IDONEIDAD DEL CLIENTE:</t>
  </si>
  <si>
    <t>Calificación Central de Riesgos</t>
  </si>
  <si>
    <t>EDAD</t>
  </si>
  <si>
    <t>ESTADO CIVIL</t>
  </si>
  <si>
    <t>NOMBRES Y APELLIDOS DEL CONYUGE:</t>
  </si>
  <si>
    <t>CEDULA IDENTIDAD CONYUGE:</t>
  </si>
  <si>
    <t>NUMERO DE CARGAS</t>
  </si>
  <si>
    <t>Instalaciones</t>
  </si>
  <si>
    <t>Controles Contables - Administrativos</t>
  </si>
  <si>
    <t>Concentración en Clientes</t>
  </si>
  <si>
    <t>Concentración en Proveedores</t>
  </si>
  <si>
    <t>Ventas</t>
  </si>
  <si>
    <t>Destino:</t>
  </si>
  <si>
    <t>Monto:</t>
  </si>
  <si>
    <t>Plazo (meses):</t>
  </si>
  <si>
    <t>Tasa:</t>
  </si>
  <si>
    <t>Forma de pago:</t>
  </si>
  <si>
    <t>Inversión total:</t>
  </si>
  <si>
    <t>% a financiar:</t>
  </si>
  <si>
    <t>DETALLE DE GARANTÍAS:</t>
  </si>
  <si>
    <t>Tipo de Garantía 1</t>
  </si>
  <si>
    <t>Avalúo de garantía 1</t>
  </si>
  <si>
    <t>Fecha de avalúo garantía 1</t>
  </si>
  <si>
    <t>Tipo de Garantía 2</t>
  </si>
  <si>
    <t>Avalúo de garantía 2</t>
  </si>
  <si>
    <t>TOTAL GARANTIAS</t>
  </si>
  <si>
    <t xml:space="preserve"> </t>
  </si>
  <si>
    <t>Calficación de Sector:</t>
  </si>
  <si>
    <t>Edad:</t>
  </si>
  <si>
    <t>Experiencia en el negocio</t>
  </si>
  <si>
    <t>Tipo de identificación</t>
  </si>
  <si>
    <t>Bureau de Crédito</t>
  </si>
  <si>
    <t>Calif. Central Riesgos</t>
  </si>
  <si>
    <t>Control Administrativo-Financiero</t>
  </si>
  <si>
    <t xml:space="preserve">Concentración en Proveedores </t>
  </si>
  <si>
    <t>Tipo de Garantía</t>
  </si>
  <si>
    <t>R.U.C.</t>
  </si>
  <si>
    <t>A</t>
  </si>
  <si>
    <t>NO</t>
  </si>
  <si>
    <t>Casado(a)</t>
  </si>
  <si>
    <t>Activos Fijos</t>
  </si>
  <si>
    <t>C</t>
  </si>
  <si>
    <t>Segmento</t>
  </si>
  <si>
    <t>Nivel de Ventas</t>
  </si>
  <si>
    <t>Tipo de Identificación</t>
  </si>
  <si>
    <t>C.I.</t>
  </si>
  <si>
    <t>Ventas entre 50M - 100M</t>
  </si>
  <si>
    <t>Ventas entre 100M - 200M</t>
  </si>
  <si>
    <t>Ventas entre 200M - 500M</t>
  </si>
  <si>
    <t>Ventas entre 500M - 1MM</t>
  </si>
  <si>
    <t>Soltero(a)</t>
  </si>
  <si>
    <t>Con Separación de Bienes</t>
  </si>
  <si>
    <t>Disolución Soc. Conyugal</t>
  </si>
  <si>
    <t>Divorciado(a)</t>
  </si>
  <si>
    <t>Unión Libre</t>
  </si>
  <si>
    <t>Viudo(a)</t>
  </si>
  <si>
    <t>Entre 2 y 5 años</t>
  </si>
  <si>
    <t>Propias</t>
  </si>
  <si>
    <t>Mixtas (propias y alquiladas)</t>
  </si>
  <si>
    <t>Alquiladas</t>
  </si>
  <si>
    <t>Proveedores</t>
  </si>
  <si>
    <t>Entre 2-4 Proveedores</t>
  </si>
  <si>
    <t>B</t>
  </si>
  <si>
    <t>D y E</t>
  </si>
  <si>
    <t>Cash Collateral</t>
  </si>
  <si>
    <t>SI</t>
  </si>
  <si>
    <t>Fecha</t>
  </si>
  <si>
    <t>PYMES</t>
  </si>
  <si>
    <t>Pequeñas Empresas</t>
  </si>
  <si>
    <t>Medianas Empresas</t>
  </si>
  <si>
    <t>Personas</t>
  </si>
  <si>
    <t>Comercio</t>
  </si>
  <si>
    <t>Construcción</t>
  </si>
  <si>
    <t>Manufactura</t>
  </si>
  <si>
    <t>Salud</t>
  </si>
  <si>
    <t>Transporte y Almacenamiento</t>
  </si>
  <si>
    <t>Telecomunicaciones</t>
  </si>
  <si>
    <t>Actividad</t>
  </si>
  <si>
    <t>Otros</t>
  </si>
  <si>
    <t>Puntaje</t>
  </si>
  <si>
    <t>Sin Historia</t>
  </si>
  <si>
    <t>RECHAZADO</t>
  </si>
  <si>
    <t>ESTANDAR DE CALIFICACION</t>
  </si>
  <si>
    <t>R</t>
  </si>
  <si>
    <t>C. Castigados</t>
  </si>
  <si>
    <t>C, D o E justificado</t>
  </si>
  <si>
    <t>965-999</t>
  </si>
  <si>
    <t>920-964</t>
  </si>
  <si>
    <t>550-919</t>
  </si>
  <si>
    <t>0-549</t>
  </si>
  <si>
    <t>HABILITADA-INHABILITADA</t>
  </si>
  <si>
    <t>Ventas  menosres 50M</t>
  </si>
  <si>
    <t>Turismo</t>
  </si>
  <si>
    <t>RESULTADOS</t>
  </si>
  <si>
    <t>Habilidado (SI-NO)</t>
  </si>
  <si>
    <t>PERSONAS NATURALES:</t>
  </si>
  <si>
    <t xml:space="preserve"> DATOS DE LA PROPUESTA DE CREDITO:</t>
  </si>
  <si>
    <t>EVALUACION DEL NEGOCIO</t>
  </si>
  <si>
    <t>PERFIL DEL CLIENTE</t>
  </si>
  <si>
    <t>INFORMACION DEL NEGOCIO</t>
  </si>
  <si>
    <t>INFORMACION DEL CLIENTE</t>
  </si>
  <si>
    <t xml:space="preserve">Score-Buro </t>
  </si>
  <si>
    <t>MODELO DE EVALUACION DE CREDITO PARA PERSONAS NATURALES Y PYMES</t>
  </si>
  <si>
    <t>No Aplica (Persona Juridica)</t>
  </si>
  <si>
    <t>NA</t>
  </si>
  <si>
    <t xml:space="preserve">Menor a 23 </t>
  </si>
  <si>
    <t xml:space="preserve">Entre 23-29 </t>
  </si>
  <si>
    <t>Entre 30 - 55</t>
  </si>
  <si>
    <t xml:space="preserve">Mayor a 55 menor a 70 </t>
  </si>
  <si>
    <t xml:space="preserve">Mayor a 70 </t>
  </si>
  <si>
    <t>Mas de 5 años</t>
  </si>
  <si>
    <t>Menos a 2 años</t>
  </si>
  <si>
    <t>1-5 clientes</t>
  </si>
  <si>
    <t>6-20 clientes</t>
  </si>
  <si>
    <t>Mas de 20 clientes</t>
  </si>
  <si>
    <t xml:space="preserve"> 1 proveedor</t>
  </si>
  <si>
    <t>Varios Proveedores</t>
  </si>
  <si>
    <t>1 a 2</t>
  </si>
  <si>
    <t>3 a 4</t>
  </si>
  <si>
    <t>4 a 5</t>
  </si>
  <si>
    <t>Hipotecaria</t>
  </si>
  <si>
    <t>Quirografaria</t>
  </si>
  <si>
    <t>Prendaria</t>
  </si>
  <si>
    <t>Otras</t>
  </si>
  <si>
    <t>Capital de Trabajo</t>
  </si>
  <si>
    <t>INHABILITADA</t>
  </si>
  <si>
    <t>REVISAR</t>
  </si>
  <si>
    <t>A.V.</t>
  </si>
  <si>
    <t>ANALISIS HORIZONTAL</t>
  </si>
  <si>
    <t>ESTADO DE RESULTADOS</t>
  </si>
  <si>
    <t>PROMEDIO    H</t>
  </si>
  <si>
    <t>PROMEDIO ESTRUCTURA (v)</t>
  </si>
  <si>
    <t>Costo de lo vendido</t>
  </si>
  <si>
    <t>Utilidad Bruta</t>
  </si>
  <si>
    <t>Gastos Admon., Gen. y Ventas</t>
  </si>
  <si>
    <t xml:space="preserve">Depreciación </t>
  </si>
  <si>
    <t>amortizacion</t>
  </si>
  <si>
    <t xml:space="preserve">Utilidad Operativa </t>
  </si>
  <si>
    <t>Gastos Financieros</t>
  </si>
  <si>
    <t>Utilidad  UAIT</t>
  </si>
  <si>
    <t>Trabajadores</t>
  </si>
  <si>
    <t>Impuestos</t>
  </si>
  <si>
    <t xml:space="preserve">Utilidad Neta </t>
  </si>
  <si>
    <t>BALANCE GENERAL</t>
  </si>
  <si>
    <t>- Depreciación Acum.</t>
  </si>
  <si>
    <t>TOTAL ACTIVOS</t>
  </si>
  <si>
    <t>Otros Pasivos Corrientes</t>
  </si>
  <si>
    <t>TOTAL PASIVO CIRCULANTE</t>
  </si>
  <si>
    <t>TOTAL PASIVOS</t>
  </si>
  <si>
    <t>Capital</t>
  </si>
  <si>
    <t>Utilidades Retenidas</t>
  </si>
  <si>
    <t>Utilidades del Ejercicio</t>
  </si>
  <si>
    <t>TOTAL PATRIMONIO</t>
  </si>
  <si>
    <t>TOTAL PAS. + PAT</t>
  </si>
  <si>
    <t xml:space="preserve">RAZONES FINANCIERAS </t>
  </si>
  <si>
    <t>RAZONES DE LIQUIDEZ O SOLVENCIA</t>
  </si>
  <si>
    <t>CIRCULANTE</t>
  </si>
  <si>
    <t>RAZONES DE ACTIVIDAD</t>
  </si>
  <si>
    <t>ROTACION DEL CAPITAL DE TRABAJO NETO</t>
  </si>
  <si>
    <t>RAZONES DE APALANCAMIENTO</t>
  </si>
  <si>
    <t>DEUDA TOTAL</t>
  </si>
  <si>
    <t>DEUDA CAPITAL</t>
  </si>
  <si>
    <t>COBERTURA DE EFECTIVO</t>
  </si>
  <si>
    <t>RAZONES DE RENTABILIDAD</t>
  </si>
  <si>
    <t>MARGEN DE UTILIDAD</t>
  </si>
  <si>
    <t>ROA</t>
  </si>
  <si>
    <t>ROE</t>
  </si>
  <si>
    <t>Activos Disponibles Inversiones</t>
  </si>
  <si>
    <t>Activos Disponibles Caja</t>
  </si>
  <si>
    <t>Activos Exigibles (CxC)</t>
  </si>
  <si>
    <t>Activos Exigibles (Impuestos retenidos)</t>
  </si>
  <si>
    <t>Activos Realizables (Inventarios)</t>
  </si>
  <si>
    <t>TOTAL ACTIVOS CORRIENTES</t>
  </si>
  <si>
    <t>Otros Activos Corrientes</t>
  </si>
  <si>
    <t>Activo Fijo Tangible</t>
  </si>
  <si>
    <t>Activo Fijo Intangible</t>
  </si>
  <si>
    <t>- Amortización Acum.</t>
  </si>
  <si>
    <t>TOTAL ACTIVOS FIJOS NETOS</t>
  </si>
  <si>
    <t xml:space="preserve">OTROS ACTIVOS   </t>
  </si>
  <si>
    <t>CxP Proveedores</t>
  </si>
  <si>
    <t>Obligaciones Int. Financieras</t>
  </si>
  <si>
    <t>Prestamos Socios</t>
  </si>
  <si>
    <t>TOTAL PASIVOS CORRIENTES</t>
  </si>
  <si>
    <t>Otros Pasivos Largo P.</t>
  </si>
  <si>
    <t xml:space="preserve">TOTAL PASIVOS NO CORRIENTES </t>
  </si>
  <si>
    <t xml:space="preserve">OTROS PASIVO DIFERIDOS </t>
  </si>
  <si>
    <t xml:space="preserve">Reservas </t>
  </si>
  <si>
    <t>11-12</t>
  </si>
  <si>
    <t>12-13</t>
  </si>
  <si>
    <t>D</t>
  </si>
  <si>
    <t>CAPITAL DE TRABAJO NETO/ ACTIVO TOTAL</t>
  </si>
  <si>
    <t xml:space="preserve">CAPITAL DE TRABAJO NETO  </t>
  </si>
  <si>
    <t>Obligaciones Ins. Financieras</t>
  </si>
  <si>
    <t>Comprobacion de Balance</t>
  </si>
  <si>
    <t>Monto del préstamo:</t>
  </si>
  <si>
    <t>Tasa de interés anual :</t>
  </si>
  <si>
    <t>Plazo en años:</t>
  </si>
  <si>
    <t>Pagos por año:</t>
  </si>
  <si>
    <t>Número de pagos</t>
  </si>
  <si>
    <t>Fecha de concesión:</t>
  </si>
  <si>
    <t>No.</t>
  </si>
  <si>
    <t>FECHA</t>
  </si>
  <si>
    <t>INTERES</t>
  </si>
  <si>
    <t>AMORTIZACION</t>
  </si>
  <si>
    <t>PAGO MENSUAL</t>
  </si>
  <si>
    <t>SALDO</t>
  </si>
  <si>
    <t>BIOMOL SA</t>
  </si>
  <si>
    <t>NN UU 1084 Y AMAZONAS</t>
  </si>
  <si>
    <t>600 MIL</t>
  </si>
  <si>
    <t>MENSUAL</t>
  </si>
  <si>
    <t xml:space="preserve">Los datos observan una empresa liquida, solvente, solida sin mayor nivel de endeudamiento, con crecimiento limitados en ventas. Tiene un adecuado ROA y ROE, sin embargo el margen de utilidad sobre ventas no es el mejor. </t>
  </si>
  <si>
    <t>BIOMOL</t>
  </si>
  <si>
    <t>FLUJO DE CAJA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</si>
  <si>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</si>
  <si>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</si>
  <si>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</si>
  <si>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</si>
  <si>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</si>
  <si>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</si>
  <si>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</si>
  <si>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</si>
  <si>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</si>
  <si>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</si>
  <si>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</si>
  <si>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</si>
  <si>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</si>
  <si>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INGRESOS</t>
  </si>
  <si>
    <t>VENTAS</t>
  </si>
  <si>
    <t>COSTO VENTAS</t>
  </si>
  <si>
    <t>TOTAL INGRESOS OPERACIONALES</t>
  </si>
  <si>
    <t xml:space="preserve">EGRESOS </t>
  </si>
  <si>
    <t>EGRESOS OPERACIONALES:</t>
  </si>
  <si>
    <t>NOMINA</t>
  </si>
  <si>
    <t>COMISIONES</t>
  </si>
  <si>
    <t xml:space="preserve">ARRIENDOS </t>
  </si>
  <si>
    <t>CONDOMINIO</t>
  </si>
  <si>
    <t>GASTOS ADMINISTRATIVOS GENERALES</t>
  </si>
  <si>
    <t>HONORARIOS PROFESIONALES</t>
  </si>
  <si>
    <t xml:space="preserve">  TOTAL EGRESOS OPERACIONALES</t>
  </si>
  <si>
    <t>EGRESOS NO OPERACIONALES:</t>
  </si>
  <si>
    <t>Pago de Capital Préstamos LP</t>
  </si>
  <si>
    <t>Pago de Interés de Créditos financieros</t>
  </si>
  <si>
    <t>TOTAL EGRESOS NO OPERACIONALES</t>
  </si>
  <si>
    <t>FLUJO NETO</t>
  </si>
  <si>
    <t>SALDO INICIAL DE CAJA</t>
  </si>
  <si>
    <t xml:space="preserve">SALDO ACUMULADO DE CAJA </t>
  </si>
  <si>
    <t>RAPIDA/ PRUEBA ACIDA</t>
  </si>
  <si>
    <t>COBERTURA DE INTERESES (# DE VECES Q SE HA GANAGO INTERES)</t>
  </si>
  <si>
    <t>CAP</t>
  </si>
  <si>
    <t>ROTACION DE ACTIVO TOTAL</t>
  </si>
  <si>
    <t>ROTACION DE ACTIVO CIRCULANTE</t>
  </si>
  <si>
    <t xml:space="preserve">Pago Impuestos </t>
  </si>
  <si>
    <t>SALDO FINAL DE CAJA + PAGO DE CAPITAL</t>
  </si>
  <si>
    <t>DEPRECIACION VEHICULO</t>
  </si>
  <si>
    <t>UTILIDAD</t>
  </si>
  <si>
    <t>15% TRABAJ</t>
  </si>
  <si>
    <t>UT ANT IMPS RENT</t>
  </si>
  <si>
    <t>22% IMP RENTA</t>
  </si>
  <si>
    <t>TOTAL DE INGRESOS</t>
  </si>
  <si>
    <t>OTROS INGRESOS  NO OPERACIONALES</t>
  </si>
  <si>
    <t>PRESTAMO BANCARIO</t>
  </si>
  <si>
    <t>APORTE ACCIONISTAS</t>
  </si>
  <si>
    <t>TOTAL OTROS INGRESOS NO OPERACIONALES</t>
  </si>
  <si>
    <t xml:space="preserve">INGRESOS POR FINANCIAMIENTO </t>
  </si>
  <si>
    <t>Inversión Compra de activos</t>
  </si>
  <si>
    <t>TOTAL DE EGRESOS</t>
  </si>
  <si>
    <t>TOTAL EGRESOS</t>
  </si>
  <si>
    <t xml:space="preserve">EVALUACION FINANCIERA 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</si>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</sst>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??_ ;_ @_ "/>
    <numFmt numFmtId="165" formatCode="[$$-409]#,##0_ ;[Red]\-[$$-409]#,##0\ "/>
    <numFmt numFmtId="166" formatCode="[$$-2409]#,##0;[Red]\-[$$-2409]#,##0"/>
    <numFmt numFmtId="167" formatCode="dd\-mm\-yy"/>
    <numFmt numFmtId="168" formatCode="_ [$$-2C0A]\ * #,##0_ ;_ [$$-2C0A]\ * \-#,##0_ ;_ [$$-2C0A]\ * &quot;-&quot;??_ ;_ @_ "/>
    <numFmt numFmtId="169" formatCode="_([$$-300A]\ * #,##0_);_([$$-300A]\ * \(#,##0\);_([$$-300A]\ * &quot;-&quot;??_);_(@_)"/>
    <numFmt numFmtId="170" formatCode="0.0%"/>
    <numFmt numFmtId="171" formatCode="_(&quot;$&quot;\ * #,##0_);_(&quot;$&quot;\ * \(#,##0\);_(&quot;$&quot;\ * &quot;-&quot;??_);_(@_)"/>
    <numFmt numFmtId="172" formatCode="&quot;$&quot;#,##0.00;\-&quot;$&quot;#,##0.00"/>
    <numFmt numFmtId="173" formatCode="#,##0.00\ &quot;Pts&quot;;[Red]\-#,##0.00\ &quot;Pts&quot;"/>
    <numFmt numFmtId="174" formatCode="_(* #.##0.00_);_(* \(#.##0.00\);_(* &quot;-&quot;??_);_(@_)"/>
    <numFmt numFmtId="175" formatCode="_(* #,##0.00000_);_(* \(#,##0.00000\);_(* &quot;-&quot;??_);_(@_)"/>
    <numFmt numFmtId="176" formatCode="_ [$$-2C0A]\ * #,##0.0000_ ;_ [$$-2C0A]\ * \-#,##0.0000_ ;_ [$$-2C0A]\ * &quot;-&quot;??_ ;_ @_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37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0" tint="-0.14999847407452621"/>
      <name val="Arial"/>
      <family val="2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  <xf numFmtId="174" fontId="1" fillId="0" borderId="0" applyFont="0" applyFill="0" applyBorder="0" applyAlignment="0" applyProtection="0"/>
  </cellStyleXfs>
  <cellXfs count="294">
    <xf numFmtId="0" fontId="0" fillId="0" borderId="0" xfId="0"/>
    <xf numFmtId="164" fontId="0" fillId="0" borderId="0" xfId="1" applyNumberFormat="1" applyFont="1" applyFill="1" applyBorder="1" applyAlignment="1" applyProtection="1">
      <alignment vertical="center" wrapText="1"/>
    </xf>
    <xf numFmtId="9" fontId="0" fillId="0" borderId="0" xfId="2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0" xfId="0" applyFont="1" applyFill="1" applyAlignment="1" applyProtection="1">
      <alignment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0" fontId="5" fillId="3" borderId="0" xfId="0" applyFont="1" applyFill="1" applyAlignment="1" applyProtection="1">
      <alignment horizontal="left" vertical="center" wrapText="1"/>
      <protection hidden="1"/>
    </xf>
    <xf numFmtId="0" fontId="6" fillId="0" borderId="0" xfId="0" applyFont="1" applyFill="1" applyAlignment="1" applyProtection="1">
      <alignment vertical="center" wrapText="1"/>
      <protection hidden="1"/>
    </xf>
    <xf numFmtId="0" fontId="6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>
      <alignment wrapText="1"/>
    </xf>
    <xf numFmtId="0" fontId="6" fillId="3" borderId="0" xfId="0" applyFont="1" applyFill="1" applyAlignment="1" applyProtection="1">
      <alignment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0" borderId="0" xfId="0" applyFont="1" applyFill="1" applyAlignment="1" applyProtection="1">
      <alignment horizontal="left" vertical="center" wrapText="1"/>
      <protection hidden="1"/>
    </xf>
    <xf numFmtId="166" fontId="6" fillId="0" borderId="0" xfId="0" applyNumberFormat="1" applyFont="1" applyFill="1" applyAlignment="1" applyProtection="1">
      <alignment vertical="center" wrapText="1"/>
      <protection hidden="1"/>
    </xf>
    <xf numFmtId="166" fontId="6" fillId="0" borderId="0" xfId="1" applyNumberFormat="1" applyFont="1" applyFill="1" applyAlignment="1" applyProtection="1">
      <alignment vertical="center" wrapText="1"/>
      <protection hidden="1"/>
    </xf>
    <xf numFmtId="0" fontId="7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</xf>
    <xf numFmtId="165" fontId="6" fillId="0" borderId="0" xfId="1" applyNumberFormat="1" applyFont="1" applyFill="1" applyAlignment="1" applyProtection="1">
      <alignment vertical="center" wrapText="1"/>
      <protection hidden="1"/>
    </xf>
    <xf numFmtId="164" fontId="6" fillId="0" borderId="0" xfId="1" applyNumberFormat="1" applyFont="1" applyFill="1" applyAlignment="1" applyProtection="1">
      <alignment vertical="center" wrapText="1"/>
      <protection hidden="1"/>
    </xf>
    <xf numFmtId="16" fontId="6" fillId="3" borderId="0" xfId="0" applyNumberFormat="1" applyFont="1" applyFill="1" applyAlignment="1" applyProtection="1">
      <alignment horizontal="left" vertical="center" wrapText="1"/>
      <protection hidden="1"/>
    </xf>
    <xf numFmtId="1" fontId="6" fillId="0" borderId="0" xfId="0" applyNumberFormat="1" applyFont="1" applyFill="1" applyBorder="1" applyAlignment="1">
      <alignment horizontal="left" vertical="center" wrapText="1"/>
    </xf>
    <xf numFmtId="167" fontId="6" fillId="0" borderId="0" xfId="0" applyNumberFormat="1" applyFont="1" applyFill="1" applyBorder="1" applyAlignment="1">
      <alignment horizontal="left" vertical="center" wrapText="1"/>
    </xf>
    <xf numFmtId="0" fontId="0" fillId="3" borderId="0" xfId="0" applyFont="1" applyFill="1" applyAlignment="1">
      <alignment wrapText="1"/>
    </xf>
    <xf numFmtId="0" fontId="5" fillId="0" borderId="0" xfId="0" applyFont="1" applyFill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left" vertical="center" wrapText="1"/>
      <protection hidden="1"/>
    </xf>
    <xf numFmtId="0" fontId="5" fillId="0" borderId="0" xfId="0" quotePrefix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9" fontId="6" fillId="0" borderId="0" xfId="0" applyNumberFormat="1" applyFont="1" applyFill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 vertical="center" wrapText="1"/>
      <protection hidden="1"/>
    </xf>
    <xf numFmtId="0" fontId="0" fillId="0" borderId="0" xfId="0" applyFont="1" applyFill="1" applyAlignment="1">
      <alignment horizontal="left" wrapText="1"/>
    </xf>
    <xf numFmtId="0" fontId="5" fillId="3" borderId="0" xfId="0" applyFont="1" applyFill="1" applyAlignment="1" applyProtection="1">
      <alignment horizontal="right" vertical="center" wrapText="1"/>
      <protection hidden="1"/>
    </xf>
    <xf numFmtId="0" fontId="5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0" fontId="2" fillId="3" borderId="0" xfId="0" applyFont="1" applyFill="1" applyAlignment="1" applyProtection="1">
      <alignment vertical="center" wrapText="1"/>
    </xf>
    <xf numFmtId="0" fontId="0" fillId="3" borderId="0" xfId="0" applyFont="1" applyFill="1" applyAlignment="1" applyProtection="1">
      <alignment vertical="center" wrapText="1"/>
    </xf>
    <xf numFmtId="0" fontId="0" fillId="3" borderId="0" xfId="0" applyFont="1" applyFill="1" applyBorder="1" applyAlignment="1" applyProtection="1">
      <alignment vertical="center" wrapText="1"/>
    </xf>
    <xf numFmtId="14" fontId="0" fillId="3" borderId="0" xfId="0" applyNumberFormat="1" applyFont="1" applyFill="1" applyAlignment="1" applyProtection="1">
      <alignment vertical="center" wrapText="1"/>
    </xf>
    <xf numFmtId="0" fontId="0" fillId="0" borderId="0" xfId="0" applyFill="1" applyBorder="1" applyAlignment="1">
      <alignment vertical="center"/>
    </xf>
    <xf numFmtId="0" fontId="0" fillId="7" borderId="0" xfId="0" applyFill="1"/>
    <xf numFmtId="173" fontId="0" fillId="7" borderId="0" xfId="0" applyNumberFormat="1" applyFill="1"/>
    <xf numFmtId="14" fontId="0" fillId="5" borderId="0" xfId="0" applyNumberFormat="1" applyFill="1"/>
    <xf numFmtId="14" fontId="0" fillId="7" borderId="0" xfId="0" applyNumberFormat="1" applyFill="1"/>
    <xf numFmtId="4" fontId="0" fillId="7" borderId="0" xfId="0" applyNumberFormat="1" applyFill="1"/>
    <xf numFmtId="4" fontId="18" fillId="7" borderId="0" xfId="0" applyNumberFormat="1" applyFont="1" applyFill="1" applyBorder="1"/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4" fontId="18" fillId="0" borderId="0" xfId="0" applyNumberFormat="1" applyFont="1" applyFill="1" applyBorder="1"/>
    <xf numFmtId="4" fontId="17" fillId="0" borderId="0" xfId="0" applyNumberFormat="1" applyFont="1" applyFill="1"/>
    <xf numFmtId="4" fontId="0" fillId="5" borderId="0" xfId="0" applyNumberFormat="1" applyFill="1"/>
    <xf numFmtId="4" fontId="18" fillId="5" borderId="0" xfId="0" applyNumberFormat="1" applyFont="1" applyFill="1" applyBorder="1"/>
    <xf numFmtId="14" fontId="19" fillId="0" borderId="0" xfId="0" applyNumberFormat="1" applyFo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9" borderId="20" xfId="0" applyFont="1" applyFill="1" applyBorder="1" applyAlignment="1">
      <alignment horizontal="left" vertical="center" wrapText="1"/>
    </xf>
    <xf numFmtId="0" fontId="0" fillId="9" borderId="0" xfId="0" applyFill="1" applyBorder="1" applyAlignment="1">
      <alignment horizontal="left"/>
    </xf>
    <xf numFmtId="1" fontId="0" fillId="9" borderId="0" xfId="1" applyNumberFormat="1" applyFont="1" applyFill="1" applyBorder="1" applyAlignment="1">
      <alignment horizontal="left"/>
    </xf>
    <xf numFmtId="0" fontId="2" fillId="9" borderId="22" xfId="0" applyFont="1" applyFill="1" applyBorder="1" applyAlignment="1">
      <alignment horizontal="left" vertical="center" wrapText="1"/>
    </xf>
    <xf numFmtId="0" fontId="0" fillId="9" borderId="23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10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6" borderId="19" xfId="0" applyFill="1" applyBorder="1"/>
    <xf numFmtId="0" fontId="0" fillId="6" borderId="21" xfId="0" applyFill="1" applyBorder="1"/>
    <xf numFmtId="0" fontId="2" fillId="10" borderId="20" xfId="0" applyFont="1" applyFill="1" applyBorder="1" applyAlignment="1">
      <alignment horizontal="left" vertical="center" wrapText="1"/>
    </xf>
    <xf numFmtId="0" fontId="0" fillId="10" borderId="21" xfId="0" applyFill="1" applyBorder="1"/>
    <xf numFmtId="0" fontId="2" fillId="6" borderId="20" xfId="0" applyFont="1" applyFill="1" applyBorder="1" applyAlignment="1">
      <alignment horizontal="left" vertical="center" wrapText="1"/>
    </xf>
    <xf numFmtId="0" fontId="0" fillId="6" borderId="0" xfId="0" applyFill="1" applyBorder="1" applyAlignment="1">
      <alignment horizontal="left"/>
    </xf>
    <xf numFmtId="0" fontId="0" fillId="10" borderId="24" xfId="0" applyFill="1" applyBorder="1"/>
    <xf numFmtId="0" fontId="2" fillId="9" borderId="17" xfId="0" applyFont="1" applyFill="1" applyBorder="1" applyAlignment="1">
      <alignment horizontal="left" vertical="center" wrapText="1"/>
    </xf>
    <xf numFmtId="14" fontId="0" fillId="9" borderId="18" xfId="0" applyNumberFormat="1" applyFill="1" applyBorder="1" applyAlignment="1">
      <alignment horizontal="left"/>
    </xf>
    <xf numFmtId="0" fontId="0" fillId="9" borderId="0" xfId="0" applyFill="1" applyBorder="1" applyAlignment="1">
      <alignment horizontal="left" vertical="center"/>
    </xf>
    <xf numFmtId="0" fontId="4" fillId="9" borderId="0" xfId="0" applyFont="1" applyFill="1" applyBorder="1" applyAlignment="1">
      <alignment horizontal="left"/>
    </xf>
    <xf numFmtId="43" fontId="0" fillId="9" borderId="0" xfId="1" applyFont="1" applyFill="1" applyBorder="1" applyAlignment="1">
      <alignment horizontal="left"/>
    </xf>
    <xf numFmtId="10" fontId="0" fillId="9" borderId="0" xfId="2" applyNumberFormat="1" applyFont="1" applyFill="1" applyBorder="1" applyAlignment="1">
      <alignment horizontal="left"/>
    </xf>
    <xf numFmtId="9" fontId="0" fillId="9" borderId="0" xfId="2" applyFont="1" applyFill="1" applyBorder="1" applyAlignment="1">
      <alignment horizontal="left"/>
    </xf>
    <xf numFmtId="0" fontId="2" fillId="10" borderId="22" xfId="0" applyFont="1" applyFill="1" applyBorder="1" applyAlignment="1">
      <alignment horizontal="left" vertical="center" wrapText="1"/>
    </xf>
    <xf numFmtId="0" fontId="10" fillId="0" borderId="0" xfId="0" applyFont="1" applyProtection="1">
      <protection locked="0"/>
    </xf>
    <xf numFmtId="43" fontId="10" fillId="0" borderId="0" xfId="1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21" fillId="0" borderId="0" xfId="0" applyFont="1" applyFill="1" applyBorder="1" applyProtection="1">
      <protection locked="0"/>
    </xf>
    <xf numFmtId="49" fontId="21" fillId="0" borderId="0" xfId="0" applyNumberFormat="1" applyFont="1" applyFill="1" applyBorder="1" applyAlignment="1" applyProtection="1">
      <alignment horizontal="center" wrapText="1"/>
      <protection locked="0"/>
    </xf>
    <xf numFmtId="0" fontId="21" fillId="0" borderId="0" xfId="0" applyFont="1" applyFill="1" applyBorder="1" applyAlignment="1" applyProtection="1">
      <alignment wrapText="1"/>
      <protection locked="0"/>
    </xf>
    <xf numFmtId="43" fontId="20" fillId="0" borderId="2" xfId="1" applyFont="1" applyFill="1" applyBorder="1" applyProtection="1">
      <protection locked="0"/>
    </xf>
    <xf numFmtId="9" fontId="20" fillId="0" borderId="2" xfId="2" applyFont="1" applyFill="1" applyBorder="1" applyProtection="1"/>
    <xf numFmtId="168" fontId="20" fillId="0" borderId="2" xfId="0" applyNumberFormat="1" applyFont="1" applyFill="1" applyBorder="1" applyProtection="1">
      <protection locked="0"/>
    </xf>
    <xf numFmtId="169" fontId="23" fillId="0" borderId="2" xfId="0" applyNumberFormat="1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10" fontId="10" fillId="0" borderId="2" xfId="2" applyNumberFormat="1" applyFont="1" applyFill="1" applyBorder="1" applyProtection="1">
      <protection locked="0"/>
    </xf>
    <xf numFmtId="10" fontId="24" fillId="0" borderId="0" xfId="0" applyNumberFormat="1" applyFont="1" applyFill="1" applyBorder="1" applyProtection="1">
      <protection locked="0"/>
    </xf>
    <xf numFmtId="0" fontId="24" fillId="0" borderId="0" xfId="0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43" fontId="10" fillId="0" borderId="2" xfId="1" applyFont="1" applyFill="1" applyBorder="1" applyProtection="1">
      <protection locked="0"/>
    </xf>
    <xf numFmtId="9" fontId="10" fillId="0" borderId="2" xfId="2" applyFont="1" applyFill="1" applyBorder="1" applyProtection="1"/>
    <xf numFmtId="168" fontId="10" fillId="0" borderId="2" xfId="0" applyNumberFormat="1" applyFont="1" applyFill="1" applyBorder="1" applyProtection="1">
      <protection locked="0"/>
    </xf>
    <xf numFmtId="168" fontId="10" fillId="0" borderId="2" xfId="0" applyNumberFormat="1" applyFont="1" applyFill="1" applyBorder="1" applyProtection="1"/>
    <xf numFmtId="170" fontId="21" fillId="0" borderId="0" xfId="2" applyNumberFormat="1" applyFont="1" applyFill="1" applyBorder="1" applyProtection="1">
      <protection locked="0"/>
    </xf>
    <xf numFmtId="43" fontId="20" fillId="0" borderId="2" xfId="1" applyFont="1" applyFill="1" applyBorder="1" applyProtection="1"/>
    <xf numFmtId="168" fontId="20" fillId="0" borderId="2" xfId="0" applyNumberFormat="1" applyFont="1" applyFill="1" applyBorder="1" applyProtection="1"/>
    <xf numFmtId="170" fontId="10" fillId="0" borderId="2" xfId="2" applyNumberFormat="1" applyFont="1" applyFill="1" applyBorder="1" applyProtection="1"/>
    <xf numFmtId="169" fontId="22" fillId="0" borderId="2" xfId="0" applyNumberFormat="1" applyFont="1" applyFill="1" applyBorder="1" applyProtection="1">
      <protection locked="0"/>
    </xf>
    <xf numFmtId="170" fontId="20" fillId="0" borderId="2" xfId="2" applyNumberFormat="1" applyFont="1" applyFill="1" applyBorder="1" applyProtection="1"/>
    <xf numFmtId="10" fontId="20" fillId="0" borderId="2" xfId="2" applyNumberFormat="1" applyFont="1" applyFill="1" applyBorder="1" applyProtection="1">
      <protection locked="0"/>
    </xf>
    <xf numFmtId="43" fontId="20" fillId="0" borderId="8" xfId="1" applyFont="1" applyFill="1" applyBorder="1" applyProtection="1"/>
    <xf numFmtId="10" fontId="20" fillId="0" borderId="8" xfId="2" applyNumberFormat="1" applyFont="1" applyFill="1" applyBorder="1" applyProtection="1"/>
    <xf numFmtId="168" fontId="20" fillId="0" borderId="8" xfId="0" applyNumberFormat="1" applyFont="1" applyFill="1" applyBorder="1" applyProtection="1"/>
    <xf numFmtId="0" fontId="10" fillId="0" borderId="0" xfId="0" applyFont="1" applyFill="1" applyProtection="1"/>
    <xf numFmtId="43" fontId="10" fillId="0" borderId="0" xfId="1" applyFont="1" applyFill="1" applyProtection="1">
      <protection locked="0"/>
    </xf>
    <xf numFmtId="9" fontId="10" fillId="0" borderId="0" xfId="0" applyNumberFormat="1" applyFont="1" applyFill="1" applyProtection="1">
      <protection locked="0"/>
    </xf>
    <xf numFmtId="10" fontId="10" fillId="0" borderId="2" xfId="2" applyNumberFormat="1" applyFont="1" applyFill="1" applyBorder="1" applyProtection="1"/>
    <xf numFmtId="169" fontId="10" fillId="0" borderId="2" xfId="0" applyNumberFormat="1" applyFont="1" applyFill="1" applyBorder="1" applyProtection="1">
      <protection locked="0"/>
    </xf>
    <xf numFmtId="10" fontId="20" fillId="0" borderId="2" xfId="2" applyNumberFormat="1" applyFont="1" applyFill="1" applyBorder="1" applyProtection="1"/>
    <xf numFmtId="171" fontId="10" fillId="0" borderId="2" xfId="0" applyNumberFormat="1" applyFont="1" applyFill="1" applyBorder="1" applyProtection="1">
      <protection locked="0"/>
    </xf>
    <xf numFmtId="9" fontId="20" fillId="0" borderId="8" xfId="2" applyFont="1" applyFill="1" applyBorder="1" applyProtection="1"/>
    <xf numFmtId="169" fontId="10" fillId="0" borderId="2" xfId="3" applyNumberFormat="1" applyFont="1" applyFill="1" applyBorder="1" applyProtection="1">
      <protection locked="0"/>
    </xf>
    <xf numFmtId="10" fontId="21" fillId="0" borderId="0" xfId="2" applyNumberFormat="1" applyFont="1" applyFill="1" applyBorder="1" applyAlignment="1" applyProtection="1">
      <alignment horizontal="right"/>
      <protection locked="0"/>
    </xf>
    <xf numFmtId="10" fontId="24" fillId="0" borderId="0" xfId="2" applyNumberFormat="1" applyFont="1" applyFill="1" applyBorder="1" applyAlignment="1" applyProtection="1">
      <alignment horizontal="right"/>
      <protection locked="0"/>
    </xf>
    <xf numFmtId="9" fontId="20" fillId="0" borderId="8" xfId="2" applyNumberFormat="1" applyFont="1" applyFill="1" applyBorder="1" applyProtection="1"/>
    <xf numFmtId="43" fontId="10" fillId="0" borderId="9" xfId="1" applyFont="1" applyFill="1" applyBorder="1" applyProtection="1">
      <protection locked="0"/>
    </xf>
    <xf numFmtId="168" fontId="10" fillId="0" borderId="9" xfId="0" applyNumberFormat="1" applyFont="1" applyFill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20" fillId="0" borderId="10" xfId="0" applyFont="1" applyFill="1" applyBorder="1" applyProtection="1"/>
    <xf numFmtId="43" fontId="20" fillId="0" borderId="11" xfId="1" applyFont="1" applyFill="1" applyBorder="1" applyProtection="1"/>
    <xf numFmtId="168" fontId="20" fillId="0" borderId="11" xfId="0" applyNumberFormat="1" applyFont="1" applyFill="1" applyBorder="1" applyProtection="1"/>
    <xf numFmtId="0" fontId="10" fillId="0" borderId="0" xfId="0" applyFont="1" applyProtection="1"/>
    <xf numFmtId="43" fontId="10" fillId="0" borderId="0" xfId="1" applyFont="1" applyProtection="1">
      <protection locked="0"/>
    </xf>
    <xf numFmtId="2" fontId="10" fillId="0" borderId="7" xfId="0" applyNumberFormat="1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/>
    <xf numFmtId="2" fontId="10" fillId="0" borderId="0" xfId="0" applyNumberFormat="1" applyFont="1" applyFill="1" applyBorder="1" applyAlignment="1" applyProtection="1">
      <alignment horizontal="center"/>
    </xf>
    <xf numFmtId="43" fontId="10" fillId="0" borderId="0" xfId="1" applyFont="1" applyAlignment="1" applyProtection="1">
      <alignment horizontal="right"/>
      <protection locked="0"/>
    </xf>
    <xf numFmtId="2" fontId="10" fillId="0" borderId="0" xfId="0" applyNumberFormat="1" applyFont="1" applyFill="1" applyBorder="1" applyAlignment="1" applyProtection="1">
      <alignment horizontal="right"/>
      <protection locked="0"/>
    </xf>
    <xf numFmtId="2" fontId="10" fillId="0" borderId="0" xfId="0" applyNumberFormat="1" applyFont="1" applyAlignment="1" applyProtection="1">
      <alignment horizontal="right"/>
      <protection locked="0"/>
    </xf>
    <xf numFmtId="0" fontId="10" fillId="4" borderId="28" xfId="0" applyFont="1" applyFill="1" applyBorder="1" applyProtection="1">
      <protection locked="0"/>
    </xf>
    <xf numFmtId="0" fontId="20" fillId="10" borderId="28" xfId="0" applyFont="1" applyFill="1" applyBorder="1" applyProtection="1"/>
    <xf numFmtId="9" fontId="20" fillId="0" borderId="30" xfId="2" applyFont="1" applyFill="1" applyBorder="1" applyProtection="1"/>
    <xf numFmtId="0" fontId="10" fillId="10" borderId="28" xfId="0" applyFont="1" applyFill="1" applyBorder="1" applyProtection="1"/>
    <xf numFmtId="9" fontId="10" fillId="0" borderId="30" xfId="2" applyFont="1" applyFill="1" applyBorder="1" applyProtection="1"/>
    <xf numFmtId="170" fontId="10" fillId="0" borderId="30" xfId="2" applyNumberFormat="1" applyFont="1" applyFill="1" applyBorder="1" applyProtection="1"/>
    <xf numFmtId="170" fontId="20" fillId="0" borderId="30" xfId="2" applyNumberFormat="1" applyFont="1" applyFill="1" applyBorder="1" applyProtection="1"/>
    <xf numFmtId="0" fontId="20" fillId="10" borderId="31" xfId="0" applyFont="1" applyFill="1" applyBorder="1" applyProtection="1"/>
    <xf numFmtId="10" fontId="20" fillId="0" borderId="32" xfId="2" applyNumberFormat="1" applyFont="1" applyFill="1" applyBorder="1" applyProtection="1"/>
    <xf numFmtId="10" fontId="10" fillId="0" borderId="30" xfId="2" applyNumberFormat="1" applyFont="1" applyFill="1" applyBorder="1" applyProtection="1"/>
    <xf numFmtId="0" fontId="10" fillId="10" borderId="33" xfId="0" applyFont="1" applyFill="1" applyBorder="1" applyProtection="1"/>
    <xf numFmtId="10" fontId="20" fillId="0" borderId="30" xfId="2" applyNumberFormat="1" applyFont="1" applyFill="1" applyBorder="1" applyProtection="1"/>
    <xf numFmtId="0" fontId="10" fillId="10" borderId="28" xfId="0" quotePrefix="1" applyFont="1" applyFill="1" applyBorder="1" applyProtection="1"/>
    <xf numFmtId="9" fontId="20" fillId="0" borderId="32" xfId="2" applyFont="1" applyFill="1" applyBorder="1" applyProtection="1"/>
    <xf numFmtId="9" fontId="20" fillId="0" borderId="32" xfId="2" applyNumberFormat="1" applyFont="1" applyFill="1" applyBorder="1" applyProtection="1"/>
    <xf numFmtId="43" fontId="10" fillId="0" borderId="0" xfId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/>
    <xf numFmtId="0" fontId="20" fillId="0" borderId="7" xfId="0" applyFont="1" applyFill="1" applyBorder="1" applyAlignment="1" applyProtection="1"/>
    <xf numFmtId="0" fontId="20" fillId="0" borderId="14" xfId="0" applyFont="1" applyFill="1" applyBorder="1" applyAlignment="1" applyProtection="1"/>
    <xf numFmtId="0" fontId="10" fillId="0" borderId="7" xfId="0" applyFont="1" applyFill="1" applyBorder="1" applyProtection="1"/>
    <xf numFmtId="2" fontId="10" fillId="0" borderId="14" xfId="0" applyNumberFormat="1" applyFont="1" applyFill="1" applyBorder="1" applyAlignment="1" applyProtection="1">
      <alignment horizontal="center"/>
    </xf>
    <xf numFmtId="0" fontId="20" fillId="3" borderId="7" xfId="0" applyFont="1" applyFill="1" applyBorder="1" applyAlignment="1" applyProtection="1"/>
    <xf numFmtId="0" fontId="10" fillId="0" borderId="3" xfId="0" applyFont="1" applyFill="1" applyBorder="1" applyProtection="1"/>
    <xf numFmtId="43" fontId="10" fillId="0" borderId="4" xfId="1" applyFont="1" applyFill="1" applyBorder="1" applyAlignment="1" applyProtection="1">
      <alignment horizontal="center"/>
    </xf>
    <xf numFmtId="2" fontId="10" fillId="0" borderId="4" xfId="0" applyNumberFormat="1" applyFont="1" applyFill="1" applyBorder="1" applyAlignment="1" applyProtection="1">
      <alignment horizontal="center"/>
    </xf>
    <xf numFmtId="2" fontId="10" fillId="0" borderId="3" xfId="0" applyNumberFormat="1" applyFont="1" applyFill="1" applyBorder="1" applyAlignment="1" applyProtection="1">
      <alignment horizontal="center"/>
    </xf>
    <xf numFmtId="2" fontId="10" fillId="0" borderId="15" xfId="0" applyNumberFormat="1" applyFont="1" applyFill="1" applyBorder="1" applyAlignment="1" applyProtection="1">
      <alignment horizontal="center"/>
    </xf>
    <xf numFmtId="0" fontId="20" fillId="3" borderId="12" xfId="0" applyFont="1" applyFill="1" applyBorder="1" applyAlignment="1" applyProtection="1"/>
    <xf numFmtId="0" fontId="20" fillId="0" borderId="16" xfId="0" applyFont="1" applyFill="1" applyBorder="1" applyAlignment="1" applyProtection="1"/>
    <xf numFmtId="0" fontId="20" fillId="0" borderId="13" xfId="0" applyFont="1" applyFill="1" applyBorder="1" applyAlignment="1" applyProtection="1"/>
    <xf numFmtId="0" fontId="9" fillId="3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20" fillId="3" borderId="12" xfId="0" applyFont="1" applyFill="1" applyBorder="1" applyAlignment="1" applyProtection="1">
      <alignment horizontal="center"/>
    </xf>
    <xf numFmtId="0" fontId="20" fillId="0" borderId="12" xfId="0" applyFont="1" applyFill="1" applyBorder="1" applyAlignment="1" applyProtection="1"/>
    <xf numFmtId="0" fontId="20" fillId="0" borderId="3" xfId="0" applyFont="1" applyFill="1" applyBorder="1" applyProtection="1"/>
    <xf numFmtId="43" fontId="20" fillId="0" borderId="4" xfId="1" applyFont="1" applyFill="1" applyBorder="1" applyAlignment="1" applyProtection="1">
      <alignment horizontal="center"/>
    </xf>
    <xf numFmtId="43" fontId="20" fillId="0" borderId="3" xfId="1" applyFont="1" applyFill="1" applyBorder="1" applyAlignment="1" applyProtection="1">
      <alignment horizontal="center"/>
    </xf>
    <xf numFmtId="43" fontId="20" fillId="0" borderId="15" xfId="1" applyFont="1" applyFill="1" applyBorder="1" applyAlignment="1" applyProtection="1">
      <alignment horizontal="center"/>
    </xf>
    <xf numFmtId="49" fontId="10" fillId="4" borderId="2" xfId="0" applyNumberFormat="1" applyFont="1" applyFill="1" applyBorder="1" applyAlignment="1" applyProtection="1">
      <alignment horizontal="center"/>
      <protection locked="0"/>
    </xf>
    <xf numFmtId="0" fontId="14" fillId="4" borderId="0" xfId="4" applyFont="1" applyFill="1"/>
    <xf numFmtId="0" fontId="14" fillId="4" borderId="0" xfId="4" applyFont="1" applyFill="1" applyAlignment="1">
      <alignment horizontal="right"/>
    </xf>
    <xf numFmtId="4" fontId="15" fillId="3" borderId="7" xfId="4" applyNumberFormat="1" applyFont="1" applyFill="1" applyBorder="1" applyProtection="1">
      <protection locked="0"/>
    </xf>
    <xf numFmtId="9" fontId="15" fillId="3" borderId="7" xfId="2" applyFont="1" applyFill="1" applyBorder="1" applyAlignment="1" applyProtection="1">
      <alignment horizontal="left"/>
      <protection locked="0"/>
    </xf>
    <xf numFmtId="0" fontId="15" fillId="3" borderId="7" xfId="4" applyFont="1" applyFill="1" applyBorder="1" applyAlignment="1" applyProtection="1">
      <alignment horizontal="left"/>
      <protection locked="0"/>
    </xf>
    <xf numFmtId="14" fontId="15" fillId="3" borderId="7" xfId="4" applyNumberFormat="1" applyFont="1" applyFill="1" applyBorder="1" applyAlignment="1" applyProtection="1">
      <alignment horizontal="left"/>
      <protection locked="0"/>
    </xf>
    <xf numFmtId="0" fontId="17" fillId="3" borderId="7" xfId="0" applyFont="1" applyFill="1" applyBorder="1"/>
    <xf numFmtId="0" fontId="17" fillId="3" borderId="14" xfId="0" applyFont="1" applyFill="1" applyBorder="1"/>
    <xf numFmtId="0" fontId="16" fillId="3" borderId="7" xfId="0" applyFont="1" applyFill="1" applyBorder="1"/>
    <xf numFmtId="172" fontId="16" fillId="3" borderId="14" xfId="0" applyNumberFormat="1" applyFont="1" applyFill="1" applyBorder="1"/>
    <xf numFmtId="0" fontId="17" fillId="3" borderId="3" xfId="0" applyFont="1" applyFill="1" applyBorder="1"/>
    <xf numFmtId="0" fontId="17" fillId="3" borderId="15" xfId="0" applyFont="1" applyFill="1" applyBorder="1"/>
    <xf numFmtId="0" fontId="16" fillId="4" borderId="12" xfId="0" applyFont="1" applyFill="1" applyBorder="1" applyAlignment="1">
      <alignment horizontal="centerContinuous"/>
    </xf>
    <xf numFmtId="0" fontId="16" fillId="4" borderId="13" xfId="0" applyFont="1" applyFill="1" applyBorder="1" applyAlignment="1">
      <alignment horizontal="centerContinuous"/>
    </xf>
    <xf numFmtId="0" fontId="17" fillId="8" borderId="2" xfId="0" applyFont="1" applyFill="1" applyBorder="1" applyAlignment="1">
      <alignment horizontal="center"/>
    </xf>
    <xf numFmtId="43" fontId="0" fillId="0" borderId="0" xfId="1" applyFont="1"/>
    <xf numFmtId="43" fontId="25" fillId="0" borderId="0" xfId="1" applyFont="1"/>
    <xf numFmtId="43" fontId="6" fillId="0" borderId="0" xfId="1" applyFont="1"/>
    <xf numFmtId="43" fontId="26" fillId="0" borderId="0" xfId="1" applyFont="1"/>
    <xf numFmtId="43" fontId="5" fillId="0" borderId="0" xfId="1" applyFont="1" applyAlignment="1">
      <alignment horizontal="center"/>
    </xf>
    <xf numFmtId="43" fontId="5" fillId="0" borderId="37" xfId="1" applyFont="1" applyBorder="1" applyAlignment="1">
      <alignment horizontal="center"/>
    </xf>
    <xf numFmtId="43" fontId="5" fillId="0" borderId="38" xfId="1" applyFont="1" applyBorder="1" applyAlignment="1">
      <alignment horizontal="center"/>
    </xf>
    <xf numFmtId="43" fontId="28" fillId="0" borderId="1" xfId="1" applyFont="1" applyBorder="1" applyAlignment="1">
      <alignment horizontal="center"/>
    </xf>
    <xf numFmtId="43" fontId="5" fillId="0" borderId="4" xfId="1" applyFont="1" applyBorder="1"/>
    <xf numFmtId="43" fontId="5" fillId="0" borderId="0" xfId="1" applyFont="1"/>
    <xf numFmtId="43" fontId="28" fillId="0" borderId="0" xfId="1" applyFont="1"/>
    <xf numFmtId="43" fontId="29" fillId="0" borderId="0" xfId="1" applyFont="1"/>
    <xf numFmtId="0" fontId="30" fillId="0" borderId="0" xfId="0" applyFont="1"/>
    <xf numFmtId="43" fontId="10" fillId="0" borderId="0" xfId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43" fontId="10" fillId="0" borderId="4" xfId="1" applyFont="1" applyFill="1" applyBorder="1" applyAlignment="1" applyProtection="1">
      <alignment horizontal="center" vertical="center"/>
    </xf>
    <xf numFmtId="176" fontId="10" fillId="0" borderId="0" xfId="0" applyNumberFormat="1" applyFont="1" applyFill="1" applyProtection="1">
      <protection locked="0"/>
    </xf>
    <xf numFmtId="2" fontId="10" fillId="0" borderId="0" xfId="0" applyNumberFormat="1" applyFont="1"/>
    <xf numFmtId="2" fontId="10" fillId="0" borderId="0" xfId="0" applyNumberFormat="1" applyFont="1" applyBorder="1"/>
    <xf numFmtId="169" fontId="24" fillId="0" borderId="0" xfId="0" applyNumberFormat="1" applyFont="1" applyFill="1" applyBorder="1" applyProtection="1">
      <protection locked="0"/>
    </xf>
    <xf numFmtId="43" fontId="31" fillId="0" borderId="0" xfId="1" applyFont="1" applyBorder="1"/>
    <xf numFmtId="175" fontId="31" fillId="0" borderId="0" xfId="1" applyNumberFormat="1" applyFont="1" applyBorder="1"/>
    <xf numFmtId="168" fontId="21" fillId="0" borderId="0" xfId="0" applyNumberFormat="1" applyFont="1" applyFill="1" applyBorder="1" applyProtection="1"/>
    <xf numFmtId="43" fontId="32" fillId="0" borderId="0" xfId="1" applyFont="1"/>
    <xf numFmtId="0" fontId="0" fillId="0" borderId="35" xfId="0" applyBorder="1"/>
    <xf numFmtId="0" fontId="2" fillId="0" borderId="34" xfId="0" applyFont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43" fontId="6" fillId="0" borderId="0" xfId="1" applyFont="1" applyBorder="1"/>
    <xf numFmtId="43" fontId="5" fillId="10" borderId="0" xfId="1" applyFont="1" applyFill="1"/>
    <xf numFmtId="43" fontId="31" fillId="0" borderId="0" xfId="1" applyFont="1"/>
    <xf numFmtId="43" fontId="28" fillId="10" borderId="0" xfId="1" applyFont="1" applyFill="1"/>
    <xf numFmtId="0" fontId="33" fillId="0" borderId="19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1" xfId="0" applyFont="1" applyBorder="1"/>
    <xf numFmtId="0" fontId="33" fillId="0" borderId="21" xfId="0" applyFont="1" applyFill="1" applyBorder="1" applyAlignment="1">
      <alignment horizontal="center" vertical="center"/>
    </xf>
    <xf numFmtId="0" fontId="33" fillId="6" borderId="19" xfId="0" applyFont="1" applyFill="1" applyBorder="1" applyAlignment="1">
      <alignment horizontal="center" vertical="center"/>
    </xf>
    <xf numFmtId="0" fontId="33" fillId="6" borderId="21" xfId="0" applyFont="1" applyFill="1" applyBorder="1" applyAlignment="1">
      <alignment horizontal="center" vertical="center"/>
    </xf>
    <xf numFmtId="0" fontId="33" fillId="10" borderId="21" xfId="0" applyFont="1" applyFill="1" applyBorder="1" applyAlignment="1">
      <alignment horizontal="center" vertical="center"/>
    </xf>
    <xf numFmtId="0" fontId="34" fillId="10" borderId="21" xfId="0" applyFont="1" applyFill="1" applyBorder="1" applyAlignment="1">
      <alignment horizontal="center" vertical="center" wrapText="1"/>
    </xf>
    <xf numFmtId="0" fontId="33" fillId="10" borderId="24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43" fontId="26" fillId="0" borderId="0" xfId="1" applyFont="1" applyBorder="1"/>
    <xf numFmtId="43" fontId="2" fillId="0" borderId="0" xfId="1" applyFont="1"/>
    <xf numFmtId="0" fontId="21" fillId="0" borderId="0" xfId="0" applyFont="1" applyProtection="1">
      <protection locked="0"/>
    </xf>
    <xf numFmtId="43" fontId="24" fillId="0" borderId="0" xfId="1" applyFont="1" applyFill="1" applyProtection="1">
      <protection locked="0"/>
    </xf>
    <xf numFmtId="0" fontId="21" fillId="0" borderId="0" xfId="0" applyFont="1" applyFill="1" applyProtection="1">
      <protection locked="0"/>
    </xf>
    <xf numFmtId="0" fontId="24" fillId="0" borderId="0" xfId="0" applyFont="1" applyFill="1" applyProtection="1">
      <protection locked="0"/>
    </xf>
    <xf numFmtId="49" fontId="20" fillId="4" borderId="2" xfId="0" applyNumberFormat="1" applyFont="1" applyFill="1" applyBorder="1" applyAlignment="1" applyProtection="1">
      <alignment horizontal="center"/>
      <protection locked="0"/>
    </xf>
    <xf numFmtId="10" fontId="10" fillId="0" borderId="0" xfId="0" applyNumberFormat="1" applyFont="1" applyFill="1" applyProtection="1">
      <protection locked="0"/>
    </xf>
    <xf numFmtId="10" fontId="10" fillId="0" borderId="2" xfId="0" applyNumberFormat="1" applyFont="1" applyFill="1" applyBorder="1" applyProtection="1">
      <protection locked="0"/>
    </xf>
    <xf numFmtId="2" fontId="10" fillId="0" borderId="14" xfId="0" applyNumberFormat="1" applyFont="1" applyFill="1" applyBorder="1" applyAlignment="1" applyProtection="1">
      <alignment horizontal="center" vertical="center"/>
    </xf>
    <xf numFmtId="2" fontId="10" fillId="0" borderId="15" xfId="0" applyNumberFormat="1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10" borderId="2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0" fillId="8" borderId="0" xfId="0" applyFont="1" applyFill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6" borderId="13" xfId="0" applyFont="1" applyFill="1" applyBorder="1" applyAlignment="1" applyProtection="1">
      <alignment horizontal="center" wrapText="1"/>
      <protection locked="0"/>
    </xf>
    <xf numFmtId="0" fontId="2" fillId="8" borderId="25" xfId="0" applyFont="1" applyFill="1" applyBorder="1" applyAlignment="1" applyProtection="1">
      <alignment horizontal="center"/>
    </xf>
    <xf numFmtId="0" fontId="2" fillId="8" borderId="26" xfId="0" applyFont="1" applyFill="1" applyBorder="1" applyAlignment="1" applyProtection="1">
      <alignment horizontal="center"/>
    </xf>
    <xf numFmtId="0" fontId="2" fillId="8" borderId="27" xfId="0" applyFont="1" applyFill="1" applyBorder="1" applyAlignment="1" applyProtection="1">
      <alignment horizontal="center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4" borderId="29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wrapText="1"/>
    </xf>
    <xf numFmtId="43" fontId="31" fillId="0" borderId="0" xfId="1" applyFont="1" applyAlignment="1">
      <alignment horizontal="center"/>
    </xf>
    <xf numFmtId="0" fontId="27" fillId="0" borderId="34" xfId="1" applyNumberFormat="1" applyFont="1" applyBorder="1" applyAlignment="1">
      <alignment horizontal="center" wrapText="1"/>
    </xf>
    <xf numFmtId="0" fontId="27" fillId="0" borderId="35" xfId="1" applyNumberFormat="1" applyFont="1" applyBorder="1" applyAlignment="1">
      <alignment horizontal="center" wrapText="1"/>
    </xf>
    <xf numFmtId="0" fontId="27" fillId="0" borderId="36" xfId="1" applyNumberFormat="1" applyFont="1" applyBorder="1" applyAlignment="1">
      <alignment horizontal="center" wrapText="1"/>
    </xf>
  </cellXfs>
  <cellStyles count="6">
    <cellStyle name="Millares" xfId="1" builtinId="3"/>
    <cellStyle name="Millares 2" xfId="5"/>
    <cellStyle name="Moneda" xfId="3" builtinId="4"/>
    <cellStyle name="Normal" xfId="0" builtinId="0"/>
    <cellStyle name="Normal_Tabla de Amortización_1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6"/>
  <sheetViews>
    <sheetView workbookViewId="0">
      <selection activeCell="F66" sqref="F66"/>
    </sheetView>
  </sheetViews>
  <sheetFormatPr baseColWidth="10" defaultRowHeight="14.4" x14ac:dyDescent="0.3"/>
  <cols>
    <col min="1" max="1" width="37.109375" style="71" customWidth="1"/>
    <col min="2" max="2" width="23.6640625" style="72" bestFit="1" customWidth="1"/>
    <col min="3" max="3" width="2.77734375" style="248" hidden="1" customWidth="1"/>
    <col min="4" max="4" width="3.109375" customWidth="1"/>
  </cols>
  <sheetData>
    <row r="1" spans="1:3" ht="28.95" customHeight="1" thickBot="1" x14ac:dyDescent="0.35">
      <c r="A1" s="260" t="s">
        <v>114</v>
      </c>
      <c r="B1" s="261"/>
      <c r="C1" s="262"/>
    </row>
    <row r="2" spans="1:3" x14ac:dyDescent="0.3">
      <c r="A2" s="88" t="s">
        <v>0</v>
      </c>
      <c r="B2" s="89">
        <v>41640</v>
      </c>
      <c r="C2" s="238" t="s">
        <v>38</v>
      </c>
    </row>
    <row r="3" spans="1:3" x14ac:dyDescent="0.3">
      <c r="A3" s="73" t="s">
        <v>1</v>
      </c>
      <c r="B3" s="90" t="s">
        <v>79</v>
      </c>
      <c r="C3" s="239"/>
    </row>
    <row r="4" spans="1:3" x14ac:dyDescent="0.3">
      <c r="A4" s="73" t="s">
        <v>2</v>
      </c>
      <c r="B4" s="74" t="s">
        <v>80</v>
      </c>
      <c r="C4" s="239"/>
    </row>
    <row r="5" spans="1:3" ht="15" thickBot="1" x14ac:dyDescent="0.35">
      <c r="A5" s="73" t="s">
        <v>3</v>
      </c>
      <c r="B5" s="74" t="s">
        <v>61</v>
      </c>
      <c r="C5" s="239"/>
    </row>
    <row r="6" spans="1:3" x14ac:dyDescent="0.3">
      <c r="A6" s="260" t="s">
        <v>112</v>
      </c>
      <c r="B6" s="261"/>
      <c r="C6" s="262"/>
    </row>
    <row r="7" spans="1:3" x14ac:dyDescent="0.3">
      <c r="A7" s="73" t="s">
        <v>4</v>
      </c>
      <c r="B7" s="74" t="s">
        <v>218</v>
      </c>
      <c r="C7" s="239"/>
    </row>
    <row r="8" spans="1:3" x14ac:dyDescent="0.3">
      <c r="A8" s="73" t="s">
        <v>5</v>
      </c>
      <c r="B8" s="74" t="s">
        <v>48</v>
      </c>
      <c r="C8" s="239" t="str">
        <f>VLOOKUP(B8,CONFIGURACION!F12:G13,2,0)</f>
        <v>A</v>
      </c>
    </row>
    <row r="9" spans="1:3" x14ac:dyDescent="0.3">
      <c r="A9" s="73" t="s">
        <v>6</v>
      </c>
      <c r="B9" s="75">
        <v>991715906150</v>
      </c>
      <c r="C9" s="239"/>
    </row>
    <row r="10" spans="1:3" x14ac:dyDescent="0.3">
      <c r="A10" s="73" t="s">
        <v>7</v>
      </c>
      <c r="B10" s="74" t="s">
        <v>219</v>
      </c>
      <c r="C10" s="239"/>
    </row>
    <row r="11" spans="1:3" x14ac:dyDescent="0.3">
      <c r="A11" s="73" t="s">
        <v>9</v>
      </c>
      <c r="B11" s="74" t="s">
        <v>122</v>
      </c>
      <c r="C11" s="239" t="str">
        <f>VLOOKUP(B11,CONFIGURACION!C41:D43,2,0)</f>
        <v>A</v>
      </c>
    </row>
    <row r="12" spans="1:3" x14ac:dyDescent="0.3">
      <c r="A12" s="73" t="s">
        <v>8</v>
      </c>
      <c r="B12" s="74" t="s">
        <v>83</v>
      </c>
      <c r="C12" s="239" t="str">
        <f>VLOOKUP(B12,CONFIGURACION!D2:E9,2,0)</f>
        <v>B</v>
      </c>
    </row>
    <row r="13" spans="1:3" x14ac:dyDescent="0.3">
      <c r="A13" s="73" t="s">
        <v>10</v>
      </c>
      <c r="B13" s="74"/>
      <c r="C13" s="239"/>
    </row>
    <row r="14" spans="1:3" ht="15" thickBot="1" x14ac:dyDescent="0.35">
      <c r="A14" s="76" t="s">
        <v>11</v>
      </c>
      <c r="B14" s="77">
        <v>400</v>
      </c>
      <c r="C14" s="240"/>
    </row>
    <row r="15" spans="1:3" ht="15" thickBot="1" x14ac:dyDescent="0.35">
      <c r="A15" s="232"/>
      <c r="B15" s="231"/>
      <c r="C15" s="241"/>
    </row>
    <row r="16" spans="1:3" x14ac:dyDescent="0.3">
      <c r="A16" s="268" t="s">
        <v>12</v>
      </c>
      <c r="B16" s="269"/>
      <c r="C16" s="270"/>
    </row>
    <row r="17" spans="1:3" x14ac:dyDescent="0.3">
      <c r="A17" s="73" t="s">
        <v>113</v>
      </c>
      <c r="B17" s="74" t="s">
        <v>98</v>
      </c>
      <c r="C17" s="239" t="str">
        <f>VLOOKUP(B17,CONFIGURACION!C68:D72,2,0)</f>
        <v>A</v>
      </c>
    </row>
    <row r="18" spans="1:3" x14ac:dyDescent="0.3">
      <c r="A18" s="73" t="s">
        <v>13</v>
      </c>
      <c r="B18" s="74" t="s">
        <v>49</v>
      </c>
      <c r="C18" s="239" t="str">
        <f>VLOOKUP(B18,CONFIGURACION!C75:D81,2,0)</f>
        <v>A</v>
      </c>
    </row>
    <row r="19" spans="1:3" x14ac:dyDescent="0.3">
      <c r="A19" s="73" t="s">
        <v>137</v>
      </c>
      <c r="B19" s="74" t="s">
        <v>50</v>
      </c>
      <c r="C19" s="239" t="str">
        <f>VLOOKUP(B19,CONFIGURACION!C99:D102,2,0)</f>
        <v>A</v>
      </c>
    </row>
    <row r="20" spans="1:3" x14ac:dyDescent="0.3">
      <c r="A20" s="268" t="s">
        <v>107</v>
      </c>
      <c r="B20" s="269"/>
      <c r="C20" s="270"/>
    </row>
    <row r="21" spans="1:3" x14ac:dyDescent="0.3">
      <c r="A21" s="73" t="s">
        <v>14</v>
      </c>
      <c r="B21" s="74" t="s">
        <v>115</v>
      </c>
      <c r="C21" s="239" t="str">
        <f>VLOOKUP(B21,CONFIGURACION!C32:D37,2,0)</f>
        <v>NA</v>
      </c>
    </row>
    <row r="22" spans="1:3" x14ac:dyDescent="0.3">
      <c r="A22" s="73" t="s">
        <v>15</v>
      </c>
      <c r="B22" s="74"/>
      <c r="C22" s="239"/>
    </row>
    <row r="23" spans="1:3" x14ac:dyDescent="0.3">
      <c r="A23" s="73" t="s">
        <v>16</v>
      </c>
      <c r="B23" s="74"/>
      <c r="C23" s="239"/>
    </row>
    <row r="24" spans="1:3" x14ac:dyDescent="0.3">
      <c r="A24" s="73" t="s">
        <v>17</v>
      </c>
      <c r="B24" s="74"/>
      <c r="C24" s="239"/>
    </row>
    <row r="25" spans="1:3" x14ac:dyDescent="0.3">
      <c r="A25" s="73" t="s">
        <v>18</v>
      </c>
      <c r="B25" s="74" t="s">
        <v>116</v>
      </c>
      <c r="C25" s="239" t="str">
        <f>VLOOKUP(B25,CONFIGURACION!D21:E24,2,0)</f>
        <v>A</v>
      </c>
    </row>
    <row r="26" spans="1:3" x14ac:dyDescent="0.3">
      <c r="A26" s="268" t="s">
        <v>111</v>
      </c>
      <c r="B26" s="269"/>
      <c r="C26" s="270"/>
    </row>
    <row r="27" spans="1:3" x14ac:dyDescent="0.3">
      <c r="A27" s="73" t="s">
        <v>19</v>
      </c>
      <c r="B27" s="74" t="s">
        <v>71</v>
      </c>
      <c r="C27" s="239" t="str">
        <f>VLOOKUP(B27,CONFIGURACION!C46:D48,2,0)</f>
        <v>C</v>
      </c>
    </row>
    <row r="28" spans="1:3" x14ac:dyDescent="0.3">
      <c r="A28" s="73" t="s">
        <v>20</v>
      </c>
      <c r="B28" s="91" t="s">
        <v>77</v>
      </c>
      <c r="C28" s="239" t="str">
        <f>VLOOKUP(B28,CONFIGURACION!C52:D53,2,0)</f>
        <v>A</v>
      </c>
    </row>
    <row r="29" spans="1:3" x14ac:dyDescent="0.3">
      <c r="A29" s="73" t="s">
        <v>21</v>
      </c>
      <c r="B29" s="74" t="s">
        <v>125</v>
      </c>
      <c r="C29" s="239" t="str">
        <f>VLOOKUP(B29,CONFIGURACION!C57:D59,2,0)</f>
        <v>B</v>
      </c>
    </row>
    <row r="30" spans="1:3" x14ac:dyDescent="0.3">
      <c r="A30" s="73" t="s">
        <v>22</v>
      </c>
      <c r="B30" s="74" t="s">
        <v>73</v>
      </c>
      <c r="C30" s="239" t="str">
        <f>VLOOKUP(B30,CONFIGURACION!C63:D65,2,0)</f>
        <v>B</v>
      </c>
    </row>
    <row r="31" spans="1:3" x14ac:dyDescent="0.3">
      <c r="A31" s="73" t="s">
        <v>23</v>
      </c>
      <c r="B31" s="74" t="s">
        <v>220</v>
      </c>
      <c r="C31" s="239"/>
    </row>
    <row r="32" spans="1:3" x14ac:dyDescent="0.3">
      <c r="A32" s="268" t="s">
        <v>108</v>
      </c>
      <c r="B32" s="269"/>
      <c r="C32" s="270"/>
    </row>
    <row r="33" spans="1:4" x14ac:dyDescent="0.3">
      <c r="A33" s="73" t="s">
        <v>24</v>
      </c>
      <c r="B33" s="74" t="s">
        <v>52</v>
      </c>
      <c r="C33" s="239"/>
    </row>
    <row r="34" spans="1:4" x14ac:dyDescent="0.3">
      <c r="A34" s="73" t="s">
        <v>25</v>
      </c>
      <c r="B34" s="92">
        <v>25000</v>
      </c>
      <c r="C34" s="239"/>
    </row>
    <row r="35" spans="1:4" x14ac:dyDescent="0.3">
      <c r="A35" s="73" t="s">
        <v>26</v>
      </c>
      <c r="B35" s="74">
        <v>36</v>
      </c>
      <c r="C35" s="239"/>
    </row>
    <row r="36" spans="1:4" x14ac:dyDescent="0.3">
      <c r="A36" s="73" t="s">
        <v>27</v>
      </c>
      <c r="B36" s="93">
        <v>0.125</v>
      </c>
      <c r="C36" s="239"/>
    </row>
    <row r="37" spans="1:4" x14ac:dyDescent="0.3">
      <c r="A37" s="73" t="s">
        <v>28</v>
      </c>
      <c r="B37" s="74" t="s">
        <v>221</v>
      </c>
      <c r="C37" s="239"/>
    </row>
    <row r="38" spans="1:4" x14ac:dyDescent="0.3">
      <c r="A38" s="73" t="s">
        <v>29</v>
      </c>
      <c r="B38" s="92">
        <v>50000</v>
      </c>
      <c r="C38" s="239"/>
    </row>
    <row r="39" spans="1:4" x14ac:dyDescent="0.3">
      <c r="A39" s="73" t="s">
        <v>30</v>
      </c>
      <c r="B39" s="94">
        <f>+B34/B38</f>
        <v>0.5</v>
      </c>
      <c r="C39" s="239"/>
    </row>
    <row r="40" spans="1:4" x14ac:dyDescent="0.3">
      <c r="A40" s="268" t="s">
        <v>31</v>
      </c>
      <c r="B40" s="269"/>
      <c r="C40" s="239"/>
    </row>
    <row r="41" spans="1:4" x14ac:dyDescent="0.3">
      <c r="A41" s="73" t="s">
        <v>32</v>
      </c>
      <c r="B41" s="74" t="s">
        <v>134</v>
      </c>
      <c r="C41" s="239" t="str">
        <f>VLOOKUP(B41,CONFIGURACION!C90:D94,2,0)</f>
        <v>B</v>
      </c>
    </row>
    <row r="42" spans="1:4" x14ac:dyDescent="0.3">
      <c r="A42" s="73" t="s">
        <v>33</v>
      </c>
      <c r="B42" s="74">
        <v>50000</v>
      </c>
      <c r="C42" s="239"/>
    </row>
    <row r="43" spans="1:4" x14ac:dyDescent="0.3">
      <c r="A43" s="73" t="s">
        <v>34</v>
      </c>
      <c r="B43" s="74"/>
      <c r="C43" s="239"/>
    </row>
    <row r="44" spans="1:4" x14ac:dyDescent="0.3">
      <c r="A44" s="73" t="s">
        <v>35</v>
      </c>
      <c r="B44" s="74" t="s">
        <v>135</v>
      </c>
      <c r="C44" s="239" t="str">
        <f>VLOOKUP(B44,CONFIGURACION!C90:D94,2,0)</f>
        <v>C</v>
      </c>
    </row>
    <row r="45" spans="1:4" ht="15" thickBot="1" x14ac:dyDescent="0.35">
      <c r="A45" s="73" t="s">
        <v>36</v>
      </c>
      <c r="B45" s="74"/>
      <c r="C45" s="239"/>
    </row>
    <row r="46" spans="1:4" ht="15" thickBot="1" x14ac:dyDescent="0.35">
      <c r="A46" s="95" t="s">
        <v>37</v>
      </c>
      <c r="B46" s="78">
        <f>+B42+B45</f>
        <v>50000</v>
      </c>
      <c r="C46" s="240"/>
    </row>
    <row r="47" spans="1:4" s="63" customFormat="1" ht="15" thickBot="1" x14ac:dyDescent="0.35">
      <c r="A47" s="233"/>
      <c r="B47" s="80"/>
      <c r="C47" s="242"/>
    </row>
    <row r="48" spans="1:4" x14ac:dyDescent="0.3">
      <c r="A48" s="271" t="s">
        <v>105</v>
      </c>
      <c r="B48" s="272"/>
      <c r="C48" s="243"/>
      <c r="D48" s="81"/>
    </row>
    <row r="49" spans="1:4" x14ac:dyDescent="0.3">
      <c r="A49" s="273" t="s">
        <v>110</v>
      </c>
      <c r="B49" s="274"/>
      <c r="C49" s="244"/>
      <c r="D49" s="82"/>
    </row>
    <row r="50" spans="1:4" x14ac:dyDescent="0.3">
      <c r="A50" s="83" t="s">
        <v>39</v>
      </c>
      <c r="B50" s="79" t="str">
        <f>+C12</f>
        <v>B</v>
      </c>
      <c r="C50" s="245"/>
      <c r="D50" s="84"/>
    </row>
    <row r="51" spans="1:4" x14ac:dyDescent="0.3">
      <c r="A51" s="83" t="s">
        <v>40</v>
      </c>
      <c r="B51" s="79" t="str">
        <f>+C21</f>
        <v>NA</v>
      </c>
      <c r="C51" s="245"/>
      <c r="D51" s="84"/>
    </row>
    <row r="52" spans="1:4" x14ac:dyDescent="0.3">
      <c r="A52" s="83" t="s">
        <v>41</v>
      </c>
      <c r="B52" s="79" t="str">
        <f>+C11</f>
        <v>A</v>
      </c>
      <c r="C52" s="245"/>
      <c r="D52" s="84"/>
    </row>
    <row r="53" spans="1:4" x14ac:dyDescent="0.3">
      <c r="A53" s="83" t="s">
        <v>42</v>
      </c>
      <c r="B53" s="79" t="str">
        <f>+C8</f>
        <v>A</v>
      </c>
      <c r="C53" s="245"/>
      <c r="D53" s="84"/>
    </row>
    <row r="54" spans="1:4" x14ac:dyDescent="0.3">
      <c r="A54" s="83" t="s">
        <v>43</v>
      </c>
      <c r="B54" s="79" t="str">
        <f>+C17</f>
        <v>A</v>
      </c>
      <c r="C54" s="245"/>
      <c r="D54" s="84"/>
    </row>
    <row r="55" spans="1:4" x14ac:dyDescent="0.3">
      <c r="A55" s="83" t="s">
        <v>44</v>
      </c>
      <c r="B55" s="79" t="str">
        <f>+C18</f>
        <v>A</v>
      </c>
      <c r="C55" s="245"/>
      <c r="D55" s="84"/>
    </row>
    <row r="56" spans="1:4" x14ac:dyDescent="0.3">
      <c r="A56" s="83" t="s">
        <v>106</v>
      </c>
      <c r="B56" s="79" t="str">
        <f>+C19</f>
        <v>A</v>
      </c>
      <c r="C56" s="245"/>
      <c r="D56" s="84"/>
    </row>
    <row r="57" spans="1:4" x14ac:dyDescent="0.3">
      <c r="A57" s="273" t="s">
        <v>109</v>
      </c>
      <c r="B57" s="274"/>
      <c r="C57" s="244"/>
      <c r="D57" s="82"/>
    </row>
    <row r="58" spans="1:4" x14ac:dyDescent="0.3">
      <c r="A58" s="83" t="s">
        <v>19</v>
      </c>
      <c r="B58" s="79" t="str">
        <f>+C27</f>
        <v>C</v>
      </c>
      <c r="C58" s="246"/>
      <c r="D58" s="84"/>
    </row>
    <row r="59" spans="1:4" x14ac:dyDescent="0.3">
      <c r="A59" s="83" t="s">
        <v>45</v>
      </c>
      <c r="B59" s="79" t="str">
        <f>+C28</f>
        <v>A</v>
      </c>
      <c r="C59" s="246"/>
      <c r="D59" s="84"/>
    </row>
    <row r="60" spans="1:4" x14ac:dyDescent="0.3">
      <c r="A60" s="83" t="s">
        <v>21</v>
      </c>
      <c r="B60" s="79" t="str">
        <f>+C29</f>
        <v>B</v>
      </c>
      <c r="C60" s="246"/>
      <c r="D60" s="84"/>
    </row>
    <row r="61" spans="1:4" x14ac:dyDescent="0.3">
      <c r="A61" s="83" t="s">
        <v>46</v>
      </c>
      <c r="B61" s="79" t="str">
        <f>+C30</f>
        <v>B</v>
      </c>
      <c r="C61" s="246"/>
      <c r="D61" s="84"/>
    </row>
    <row r="62" spans="1:4" x14ac:dyDescent="0.3">
      <c r="A62" s="85"/>
      <c r="B62" s="86"/>
      <c r="C62" s="244"/>
      <c r="D62" s="82"/>
    </row>
    <row r="63" spans="1:4" x14ac:dyDescent="0.3">
      <c r="A63" s="85" t="s">
        <v>279</v>
      </c>
      <c r="B63" s="86"/>
      <c r="C63" s="244"/>
      <c r="D63" s="82"/>
    </row>
    <row r="64" spans="1:4" x14ac:dyDescent="0.3">
      <c r="A64" s="263" t="s">
        <v>222</v>
      </c>
      <c r="B64" s="264"/>
      <c r="C64" s="245"/>
      <c r="D64" s="84"/>
    </row>
    <row r="65" spans="1:4" x14ac:dyDescent="0.3">
      <c r="A65" s="265"/>
      <c r="B65" s="264"/>
      <c r="C65" s="245"/>
      <c r="D65" s="84"/>
    </row>
    <row r="66" spans="1:4" ht="29.4" customHeight="1" thickBot="1" x14ac:dyDescent="0.35">
      <c r="A66" s="266"/>
      <c r="B66" s="267"/>
      <c r="C66" s="247"/>
      <c r="D66" s="87"/>
    </row>
  </sheetData>
  <mergeCells count="11">
    <mergeCell ref="A1:C1"/>
    <mergeCell ref="A64:B66"/>
    <mergeCell ref="A6:C6"/>
    <mergeCell ref="A16:C16"/>
    <mergeCell ref="A20:C20"/>
    <mergeCell ref="A26:C26"/>
    <mergeCell ref="A32:C32"/>
    <mergeCell ref="A48:B48"/>
    <mergeCell ref="A49:B49"/>
    <mergeCell ref="A57:B57"/>
    <mergeCell ref="A40:B40"/>
  </mergeCells>
  <dataValidations count="4">
    <dataValidation type="whole" allowBlank="1" showInputMessage="1" showErrorMessage="1" sqref="B9">
      <formula1>1</formula1>
      <formula2>10000000000000</formula2>
    </dataValidation>
    <dataValidation type="date" operator="greaterThan" allowBlank="1" showInputMessage="1" showErrorMessage="1" sqref="B43">
      <formula1>42005</formula1>
    </dataValidation>
    <dataValidation type="decimal" operator="greaterThan" allowBlank="1" showInputMessage="1" showErrorMessage="1" sqref="B36">
      <formula1>0.01</formula1>
    </dataValidation>
    <dataValidation type="date" operator="greaterThan" allowBlank="1" showInputMessage="1" showErrorMessage="1" sqref="B2">
      <formula1>41275</formula1>
    </dataValidation>
  </dataValidations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CONFIGURACION!$C$12:$C$16</xm:f>
          </x14:formula1>
          <xm:sqref>B5</xm:sqref>
        </x14:dataValidation>
        <x14:dataValidation type="list" allowBlank="1" showInputMessage="1" showErrorMessage="1">
          <x14:formula1>
            <xm:f>CONFIGURACION!$F$12:$F$13</xm:f>
          </x14:formula1>
          <xm:sqref>B8</xm:sqref>
        </x14:dataValidation>
        <x14:dataValidation type="list" allowBlank="1" showInputMessage="1" showErrorMessage="1">
          <x14:formula1>
            <xm:f>CONFIGURACION!$C$68:$C$71</xm:f>
          </x14:formula1>
          <xm:sqref>B17</xm:sqref>
        </x14:dataValidation>
        <x14:dataValidation type="list" allowBlank="1" showInputMessage="1" showErrorMessage="1">
          <x14:formula1>
            <xm:f>CONFIGURACION!$C$99:$C$100</xm:f>
          </x14:formula1>
          <xm:sqref>B19</xm:sqref>
        </x14:dataValidation>
        <x14:dataValidation type="list" allowBlank="1" showInputMessage="1" showErrorMessage="1">
          <x14:formula1>
            <xm:f>CONFIGURACION!$C$75:$C$81</xm:f>
          </x14:formula1>
          <xm:sqref>B18</xm:sqref>
        </x14:dataValidation>
        <x14:dataValidation type="list" allowBlank="1" showInputMessage="1" showErrorMessage="1">
          <x14:formula1>
            <xm:f>CONFIGURACION!$D$2:$D$9</xm:f>
          </x14:formula1>
          <xm:sqref>B12</xm:sqref>
        </x14:dataValidation>
        <x14:dataValidation type="list" allowBlank="1" showInputMessage="1" showErrorMessage="1">
          <x14:formula1>
            <xm:f>CONFIGURACION!$C$32:$C$37</xm:f>
          </x14:formula1>
          <xm:sqref>B21</xm:sqref>
        </x14:dataValidation>
        <x14:dataValidation type="list" allowBlank="1" showInputMessage="1" showErrorMessage="1">
          <x14:formula1>
            <xm:f>CONFIGURACION!$C$41:$C$43</xm:f>
          </x14:formula1>
          <xm:sqref>B11</xm:sqref>
        </x14:dataValidation>
        <x14:dataValidation type="list" allowBlank="1" showInputMessage="1" showErrorMessage="1">
          <x14:formula1>
            <xm:f>CONFIGURACION!$C$46:$C$48</xm:f>
          </x14:formula1>
          <xm:sqref>B27</xm:sqref>
        </x14:dataValidation>
        <x14:dataValidation type="list" allowBlank="1" showInputMessage="1" showErrorMessage="1">
          <x14:formula1>
            <xm:f>CONFIGURACION!$C$57:$C$59</xm:f>
          </x14:formula1>
          <xm:sqref>B29</xm:sqref>
        </x14:dataValidation>
        <x14:dataValidation type="list" allowBlank="1" showInputMessage="1" showErrorMessage="1">
          <x14:formula1>
            <xm:f>CONFIGURACION!$C$63:$C$65</xm:f>
          </x14:formula1>
          <xm:sqref>B30</xm:sqref>
        </x14:dataValidation>
        <x14:dataValidation type="list" allowBlank="1" showInputMessage="1" showErrorMessage="1">
          <x14:formula1>
            <xm:f>CONFIGURACION!$C$52:$C$53</xm:f>
          </x14:formula1>
          <xm:sqref>B28</xm:sqref>
        </x14:dataValidation>
        <x14:dataValidation type="list" allowBlank="1" showInputMessage="1" showErrorMessage="1">
          <x14:formula1>
            <xm:f>CONFIGURACION!$C$21:$C$27</xm:f>
          </x14:formula1>
          <xm:sqref>B22</xm:sqref>
        </x14:dataValidation>
        <x14:dataValidation type="list" allowBlank="1" showInputMessage="1" showErrorMessage="1">
          <x14:formula1>
            <xm:f>CONFIGURACION!$D$21:$D$24</xm:f>
          </x14:formula1>
          <xm:sqref>B25</xm:sqref>
        </x14:dataValidation>
        <x14:dataValidation type="list" allowBlank="1" showInputMessage="1" showErrorMessage="1">
          <x14:formula1>
            <xm:f>CONFIGURACION!$C$2:$C$4</xm:f>
          </x14:formula1>
          <xm:sqref>B4</xm:sqref>
        </x14:dataValidation>
        <x14:dataValidation type="list" allowBlank="1" showInputMessage="1" showErrorMessage="1">
          <x14:formula1>
            <xm:f>CONFIGURACION!$C$90:$C$94</xm:f>
          </x14:formula1>
          <xm:sqref>B41 B44</xm:sqref>
        </x14:dataValidation>
        <x14:dataValidation type="list" allowBlank="1" showInputMessage="1" showErrorMessage="1">
          <x14:formula1>
            <xm:f>CONFIGURACION!$C$86:$C$87</xm:f>
          </x14:formula1>
          <xm:sqref>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B1" workbookViewId="0">
      <selection activeCell="G101" sqref="G101"/>
    </sheetView>
  </sheetViews>
  <sheetFormatPr baseColWidth="10" defaultColWidth="11.5546875" defaultRowHeight="17.399999999999999" customHeight="1" x14ac:dyDescent="0.3"/>
  <cols>
    <col min="1" max="1" width="8.33203125" style="15" bestFit="1" customWidth="1"/>
    <col min="2" max="2" width="17.33203125" style="15" bestFit="1" customWidth="1"/>
    <col min="3" max="3" width="43.6640625" style="15" bestFit="1" customWidth="1"/>
    <col min="4" max="4" width="26" style="15" bestFit="1" customWidth="1"/>
    <col min="5" max="5" width="8.33203125" style="47" bestFit="1" customWidth="1"/>
    <col min="6" max="6" width="22" style="15" bestFit="1" customWidth="1"/>
    <col min="7" max="7" width="25" style="15" bestFit="1" customWidth="1"/>
    <col min="8" max="8" width="50.33203125" style="15" bestFit="1" customWidth="1"/>
    <col min="9" max="9" width="9.44140625" style="15" bestFit="1" customWidth="1"/>
    <col min="10" max="10" width="15.33203125" style="15" bestFit="1" customWidth="1"/>
    <col min="11" max="12" width="11.5546875" style="15"/>
    <col min="13" max="13" width="16.109375" style="15" bestFit="1" customWidth="1"/>
    <col min="14" max="14" width="10.109375" style="15" bestFit="1" customWidth="1"/>
    <col min="15" max="15" width="11.109375" style="15" bestFit="1" customWidth="1"/>
    <col min="16" max="16" width="19.6640625" style="15" bestFit="1" customWidth="1"/>
    <col min="17" max="17" width="30.6640625" style="15" bestFit="1" customWidth="1"/>
    <col min="18" max="16384" width="11.5546875" style="15"/>
  </cols>
  <sheetData>
    <row r="1" spans="1:18" ht="17.399999999999999" customHeight="1" x14ac:dyDescent="0.3">
      <c r="A1" s="52" t="s">
        <v>78</v>
      </c>
      <c r="C1" s="52" t="s">
        <v>54</v>
      </c>
      <c r="D1" s="10" t="s">
        <v>89</v>
      </c>
      <c r="E1" s="11" t="s">
        <v>91</v>
      </c>
      <c r="F1" s="9"/>
      <c r="G1" s="12"/>
      <c r="H1" s="12"/>
      <c r="I1" s="275" t="s">
        <v>94</v>
      </c>
      <c r="J1" s="275"/>
      <c r="K1" s="12"/>
      <c r="L1" s="12"/>
      <c r="M1" s="13"/>
      <c r="N1" s="14"/>
      <c r="O1" s="13"/>
      <c r="P1" s="14"/>
      <c r="Q1" s="14"/>
      <c r="R1" s="13"/>
    </row>
    <row r="2" spans="1:18" ht="17.399999999999999" customHeight="1" x14ac:dyDescent="0.3">
      <c r="A2" s="55">
        <v>42004</v>
      </c>
      <c r="C2" s="53" t="s">
        <v>80</v>
      </c>
      <c r="D2" s="16" t="s">
        <v>83</v>
      </c>
      <c r="E2" s="17" t="s">
        <v>74</v>
      </c>
      <c r="F2" s="12"/>
      <c r="G2" s="12"/>
      <c r="H2" s="9"/>
      <c r="I2" s="4" t="s">
        <v>49</v>
      </c>
      <c r="J2" s="3">
        <v>100</v>
      </c>
      <c r="K2" s="12"/>
      <c r="L2" s="12"/>
      <c r="M2" s="13"/>
      <c r="N2" s="14"/>
      <c r="O2" s="13"/>
      <c r="P2" s="14"/>
      <c r="Q2" s="14"/>
      <c r="R2" s="13"/>
    </row>
    <row r="3" spans="1:18" ht="17.399999999999999" customHeight="1" x14ac:dyDescent="0.3">
      <c r="A3" s="7"/>
      <c r="C3" s="54" t="s">
        <v>81</v>
      </c>
      <c r="D3" s="17" t="s">
        <v>104</v>
      </c>
      <c r="E3" s="17" t="s">
        <v>49</v>
      </c>
      <c r="F3" s="19"/>
      <c r="G3" s="12"/>
      <c r="H3" s="12"/>
      <c r="I3" s="4" t="s">
        <v>74</v>
      </c>
      <c r="J3" s="3">
        <v>50</v>
      </c>
      <c r="K3" s="12"/>
      <c r="L3" s="12"/>
      <c r="M3" s="277"/>
      <c r="N3" s="276"/>
      <c r="O3" s="277"/>
      <c r="P3" s="276"/>
      <c r="Q3" s="276"/>
      <c r="R3" s="13"/>
    </row>
    <row r="4" spans="1:18" ht="17.399999999999999" customHeight="1" x14ac:dyDescent="0.3">
      <c r="A4" s="7"/>
      <c r="C4" s="54" t="s">
        <v>82</v>
      </c>
      <c r="D4" s="17" t="s">
        <v>84</v>
      </c>
      <c r="E4" s="17" t="s">
        <v>49</v>
      </c>
      <c r="F4" s="20"/>
      <c r="G4" s="12"/>
      <c r="H4" s="12"/>
      <c r="I4" s="4" t="s">
        <v>53</v>
      </c>
      <c r="J4" s="3">
        <v>0</v>
      </c>
      <c r="K4" s="12"/>
      <c r="L4" s="12"/>
      <c r="M4" s="277"/>
      <c r="N4" s="276"/>
      <c r="O4" s="277"/>
      <c r="P4" s="276"/>
      <c r="Q4" s="276"/>
      <c r="R4" s="13"/>
    </row>
    <row r="5" spans="1:18" ht="17.399999999999999" customHeight="1" x14ac:dyDescent="0.3">
      <c r="A5" s="7"/>
      <c r="B5" s="7"/>
      <c r="C5" s="12"/>
      <c r="D5" s="16" t="s">
        <v>85</v>
      </c>
      <c r="E5" s="17" t="s">
        <v>49</v>
      </c>
      <c r="F5" s="12"/>
      <c r="G5" s="12"/>
      <c r="H5" s="12"/>
      <c r="I5" s="4" t="s">
        <v>93</v>
      </c>
      <c r="J5" s="5" t="s">
        <v>95</v>
      </c>
      <c r="K5" s="12"/>
      <c r="L5" s="12"/>
      <c r="M5" s="21"/>
      <c r="N5" s="22"/>
      <c r="O5" s="21"/>
      <c r="P5" s="23"/>
      <c r="Q5" s="23"/>
      <c r="R5" s="13"/>
    </row>
    <row r="6" spans="1:18" ht="17.399999999999999" customHeight="1" x14ac:dyDescent="0.3">
      <c r="A6" s="7"/>
      <c r="B6" s="7"/>
      <c r="C6" s="9"/>
      <c r="D6" s="16" t="s">
        <v>86</v>
      </c>
      <c r="E6" s="17" t="s">
        <v>74</v>
      </c>
      <c r="F6" s="46"/>
      <c r="G6" s="46"/>
      <c r="H6" s="12"/>
      <c r="I6" s="12"/>
      <c r="J6" s="12"/>
      <c r="K6" s="12"/>
      <c r="L6" s="12"/>
      <c r="M6" s="21"/>
      <c r="N6" s="22"/>
      <c r="O6" s="21"/>
      <c r="P6" s="23"/>
      <c r="Q6" s="23"/>
      <c r="R6" s="13"/>
    </row>
    <row r="7" spans="1:18" ht="17.399999999999999" customHeight="1" x14ac:dyDescent="0.3">
      <c r="A7" s="7"/>
      <c r="B7" s="7"/>
      <c r="C7" s="18"/>
      <c r="D7" s="17" t="s">
        <v>87</v>
      </c>
      <c r="E7" s="17" t="s">
        <v>49</v>
      </c>
      <c r="F7" s="20"/>
      <c r="G7" s="20"/>
      <c r="H7" s="12"/>
      <c r="I7" s="12"/>
      <c r="J7" s="12"/>
      <c r="K7" s="12"/>
      <c r="L7" s="12"/>
      <c r="M7" s="21"/>
      <c r="N7" s="22"/>
      <c r="O7" s="21"/>
      <c r="P7" s="23"/>
      <c r="Q7" s="23"/>
      <c r="R7" s="13"/>
    </row>
    <row r="8" spans="1:18" ht="17.399999999999999" customHeight="1" x14ac:dyDescent="0.3">
      <c r="A8" s="7"/>
      <c r="B8" s="7"/>
      <c r="C8" s="18"/>
      <c r="D8" s="17" t="s">
        <v>88</v>
      </c>
      <c r="E8" s="17" t="s">
        <v>49</v>
      </c>
      <c r="F8" s="20"/>
      <c r="G8" s="20"/>
      <c r="H8" s="12"/>
      <c r="I8" s="12"/>
      <c r="J8" s="12"/>
      <c r="K8" s="12"/>
      <c r="L8" s="12"/>
      <c r="M8" s="21"/>
      <c r="N8" s="22"/>
      <c r="O8" s="21"/>
      <c r="P8" s="23"/>
      <c r="Q8" s="23"/>
      <c r="R8" s="13"/>
    </row>
    <row r="9" spans="1:18" ht="17.399999999999999" customHeight="1" x14ac:dyDescent="0.3">
      <c r="A9" s="24"/>
      <c r="B9" s="24"/>
      <c r="C9" s="12"/>
      <c r="D9" s="16" t="s">
        <v>90</v>
      </c>
      <c r="E9" s="17" t="s">
        <v>53</v>
      </c>
      <c r="F9" s="12"/>
      <c r="G9" s="12"/>
      <c r="H9" s="12"/>
      <c r="I9" s="12"/>
      <c r="J9" s="12"/>
      <c r="K9" s="12"/>
      <c r="L9" s="12"/>
      <c r="M9" s="21"/>
      <c r="N9" s="22"/>
      <c r="O9" s="21"/>
      <c r="P9" s="23"/>
      <c r="Q9" s="23"/>
      <c r="R9" s="13"/>
    </row>
    <row r="10" spans="1:18" ht="17.399999999999999" customHeight="1" x14ac:dyDescent="0.3">
      <c r="A10" s="24"/>
      <c r="B10" s="24"/>
      <c r="C10" s="12"/>
      <c r="D10" s="12"/>
      <c r="E10" s="18"/>
      <c r="F10" s="12"/>
      <c r="G10" s="12"/>
      <c r="H10" s="12"/>
      <c r="I10" s="12"/>
      <c r="J10" s="12"/>
      <c r="K10" s="12"/>
      <c r="L10" s="12"/>
      <c r="M10" s="21"/>
      <c r="N10" s="22"/>
      <c r="O10" s="21"/>
      <c r="P10" s="23"/>
      <c r="Q10" s="23"/>
      <c r="R10" s="13"/>
    </row>
    <row r="11" spans="1:18" ht="17.399999999999999" customHeight="1" x14ac:dyDescent="0.3">
      <c r="A11" s="6"/>
      <c r="B11" s="6"/>
      <c r="C11" s="10" t="s">
        <v>55</v>
      </c>
      <c r="D11" s="9"/>
      <c r="E11" s="37"/>
      <c r="F11" s="48" t="s">
        <v>56</v>
      </c>
      <c r="G11" s="16"/>
      <c r="H11" s="12"/>
      <c r="I11" s="12"/>
      <c r="J11" s="12"/>
      <c r="K11" s="12"/>
      <c r="L11" s="12"/>
      <c r="M11" s="21"/>
      <c r="N11" s="22"/>
      <c r="O11" s="21"/>
      <c r="P11" s="23"/>
      <c r="Q11" s="23"/>
      <c r="R11" s="13"/>
    </row>
    <row r="12" spans="1:18" ht="17.399999999999999" customHeight="1" x14ac:dyDescent="0.3">
      <c r="A12" s="6"/>
      <c r="B12" s="6"/>
      <c r="C12" s="17" t="s">
        <v>103</v>
      </c>
      <c r="D12" s="18"/>
      <c r="E12" s="18"/>
      <c r="F12" s="25" t="s">
        <v>57</v>
      </c>
      <c r="G12" s="16" t="s">
        <v>49</v>
      </c>
      <c r="H12" s="12"/>
      <c r="I12" s="12"/>
      <c r="J12" s="12"/>
      <c r="K12" s="12"/>
      <c r="L12" s="12"/>
      <c r="M12" s="21"/>
      <c r="N12" s="22"/>
      <c r="O12" s="21"/>
      <c r="P12" s="23"/>
      <c r="Q12" s="23"/>
      <c r="R12" s="13"/>
    </row>
    <row r="13" spans="1:18" ht="17.399999999999999" customHeight="1" x14ac:dyDescent="0.3">
      <c r="A13" s="6"/>
      <c r="B13" s="6"/>
      <c r="C13" s="17" t="s">
        <v>58</v>
      </c>
      <c r="D13" s="18"/>
      <c r="E13" s="18"/>
      <c r="F13" s="25" t="s">
        <v>48</v>
      </c>
      <c r="G13" s="16" t="s">
        <v>49</v>
      </c>
      <c r="H13" s="12"/>
      <c r="I13" s="12"/>
      <c r="J13" s="12"/>
      <c r="K13" s="12"/>
      <c r="L13" s="12"/>
      <c r="M13" s="21"/>
      <c r="N13" s="22"/>
      <c r="O13" s="21"/>
      <c r="P13" s="23"/>
      <c r="Q13" s="23"/>
      <c r="R13" s="13"/>
    </row>
    <row r="14" spans="1:18" ht="17.399999999999999" customHeight="1" x14ac:dyDescent="0.3">
      <c r="A14" s="6"/>
      <c r="B14" s="6"/>
      <c r="C14" s="17" t="s">
        <v>59</v>
      </c>
      <c r="D14" s="18"/>
      <c r="E14" s="18"/>
      <c r="F14" s="12"/>
      <c r="G14" s="12"/>
      <c r="H14" s="12"/>
      <c r="I14" s="12"/>
      <c r="J14" s="12"/>
      <c r="K14" s="12"/>
      <c r="L14" s="12"/>
      <c r="M14" s="21"/>
      <c r="N14" s="22"/>
      <c r="O14" s="21"/>
      <c r="P14" s="23"/>
      <c r="Q14" s="23"/>
      <c r="R14" s="13"/>
    </row>
    <row r="15" spans="1:18" ht="17.399999999999999" customHeight="1" x14ac:dyDescent="0.3">
      <c r="A15" s="6"/>
      <c r="B15" s="6"/>
      <c r="C15" s="17" t="s">
        <v>60</v>
      </c>
      <c r="D15" s="18"/>
      <c r="E15" s="18"/>
      <c r="F15" s="12"/>
      <c r="G15" s="12"/>
      <c r="H15" s="12"/>
      <c r="I15" s="12"/>
      <c r="J15" s="12"/>
      <c r="K15" s="12"/>
      <c r="L15" s="12"/>
      <c r="M15" s="21"/>
      <c r="N15" s="22"/>
      <c r="O15" s="21"/>
      <c r="P15" s="23"/>
      <c r="Q15" s="23"/>
      <c r="R15" s="13"/>
    </row>
    <row r="16" spans="1:18" ht="17.399999999999999" customHeight="1" x14ac:dyDescent="0.3">
      <c r="A16" s="6"/>
      <c r="B16" s="6"/>
      <c r="C16" s="17" t="s">
        <v>61</v>
      </c>
      <c r="D16" s="18"/>
      <c r="E16" s="18"/>
      <c r="F16" s="12"/>
      <c r="G16" s="12"/>
      <c r="H16" s="12"/>
      <c r="I16" s="12"/>
      <c r="J16" s="12"/>
      <c r="K16" s="12"/>
      <c r="L16" s="12"/>
      <c r="M16" s="21"/>
      <c r="N16" s="22"/>
      <c r="O16" s="21"/>
      <c r="P16" s="23"/>
      <c r="Q16" s="23"/>
      <c r="R16" s="13"/>
    </row>
    <row r="17" spans="1:18" ht="17.399999999999999" customHeight="1" x14ac:dyDescent="0.3">
      <c r="A17" s="26"/>
      <c r="B17" s="6"/>
      <c r="C17" s="12"/>
      <c r="D17" s="12"/>
      <c r="E17" s="18"/>
      <c r="F17" s="12"/>
      <c r="G17" s="12"/>
      <c r="H17" s="12"/>
      <c r="I17" s="12"/>
      <c r="J17" s="12"/>
      <c r="K17" s="12"/>
      <c r="L17" s="12"/>
      <c r="M17" s="21"/>
      <c r="N17" s="22"/>
      <c r="O17" s="21"/>
      <c r="P17" s="23"/>
      <c r="Q17" s="23"/>
      <c r="R17" s="13"/>
    </row>
    <row r="18" spans="1:18" ht="17.399999999999999" customHeight="1" x14ac:dyDescent="0.3">
      <c r="A18" s="27"/>
      <c r="B18" s="26"/>
      <c r="C18" s="9"/>
      <c r="D18" s="9"/>
      <c r="E18" s="37"/>
      <c r="F18" s="46"/>
      <c r="G18" s="46"/>
      <c r="H18" s="12"/>
      <c r="I18" s="12"/>
      <c r="J18" s="12"/>
      <c r="K18" s="12"/>
      <c r="L18" s="12"/>
      <c r="M18" s="21"/>
      <c r="N18" s="22"/>
      <c r="O18" s="21"/>
      <c r="P18" s="23"/>
      <c r="Q18" s="23"/>
      <c r="R18" s="13"/>
    </row>
    <row r="19" spans="1:18" ht="17.399999999999999" customHeight="1" x14ac:dyDescent="0.3">
      <c r="A19" s="28"/>
      <c r="B19" s="27"/>
      <c r="C19" s="18"/>
      <c r="D19" s="18"/>
      <c r="E19" s="18"/>
      <c r="F19" s="29"/>
      <c r="G19" s="29"/>
      <c r="H19" s="30"/>
      <c r="I19" s="30"/>
      <c r="J19" s="30"/>
      <c r="K19" s="30"/>
      <c r="L19" s="12"/>
      <c r="M19" s="21"/>
      <c r="N19" s="22"/>
      <c r="O19" s="21"/>
      <c r="P19" s="23"/>
      <c r="Q19" s="23"/>
      <c r="R19" s="13"/>
    </row>
    <row r="20" spans="1:18" ht="17.399999999999999" customHeight="1" x14ac:dyDescent="0.3">
      <c r="A20" s="6"/>
      <c r="B20" s="28"/>
      <c r="C20" s="10" t="s">
        <v>15</v>
      </c>
      <c r="D20" s="8" t="s">
        <v>18</v>
      </c>
      <c r="E20" s="17"/>
      <c r="F20" s="30"/>
      <c r="G20" s="30"/>
      <c r="H20" s="30"/>
      <c r="I20" s="30"/>
      <c r="J20" s="30"/>
      <c r="K20" s="30"/>
      <c r="L20" s="9"/>
      <c r="M20" s="21"/>
      <c r="N20" s="22"/>
      <c r="O20" s="21"/>
      <c r="P20" s="23"/>
      <c r="Q20" s="23"/>
      <c r="R20" s="13"/>
    </row>
    <row r="21" spans="1:18" ht="17.399999999999999" customHeight="1" x14ac:dyDescent="0.3">
      <c r="A21" s="6"/>
      <c r="B21" s="6"/>
      <c r="C21" s="16" t="s">
        <v>62</v>
      </c>
      <c r="D21" s="31" t="s">
        <v>129</v>
      </c>
      <c r="E21" s="17" t="s">
        <v>49</v>
      </c>
      <c r="F21" s="30"/>
      <c r="G21" s="30"/>
      <c r="H21" s="30"/>
      <c r="I21" s="30"/>
      <c r="J21" s="30"/>
      <c r="K21" s="30"/>
      <c r="L21" s="36"/>
      <c r="M21" s="32"/>
      <c r="N21" s="22"/>
      <c r="O21" s="33"/>
      <c r="P21" s="23"/>
      <c r="Q21" s="23"/>
      <c r="R21" s="13"/>
    </row>
    <row r="22" spans="1:18" ht="17.399999999999999" customHeight="1" x14ac:dyDescent="0.3">
      <c r="A22" s="6"/>
      <c r="B22" s="6"/>
      <c r="C22" s="16" t="s">
        <v>51</v>
      </c>
      <c r="D22" s="17" t="s">
        <v>130</v>
      </c>
      <c r="E22" s="17" t="s">
        <v>74</v>
      </c>
      <c r="F22" s="30"/>
      <c r="G22" s="30"/>
      <c r="H22" s="30"/>
      <c r="I22" s="30"/>
      <c r="J22" s="30"/>
      <c r="K22" s="30"/>
      <c r="L22" s="12"/>
      <c r="M22" s="32"/>
      <c r="N22" s="22"/>
      <c r="O22" s="33"/>
      <c r="P22" s="23"/>
      <c r="Q22" s="23"/>
      <c r="R22" s="13"/>
    </row>
    <row r="23" spans="1:18" ht="17.399999999999999" customHeight="1" x14ac:dyDescent="0.3">
      <c r="A23" s="6"/>
      <c r="B23" s="6"/>
      <c r="C23" s="16" t="s">
        <v>63</v>
      </c>
      <c r="D23" s="34" t="s">
        <v>131</v>
      </c>
      <c r="E23" s="17" t="s">
        <v>53</v>
      </c>
      <c r="F23" s="30"/>
      <c r="G23" s="30"/>
      <c r="H23" s="30"/>
      <c r="I23" s="30"/>
      <c r="J23" s="30"/>
      <c r="K23" s="30"/>
      <c r="L23" s="12"/>
      <c r="M23" s="32"/>
      <c r="N23" s="22"/>
      <c r="O23" s="33"/>
      <c r="P23" s="23"/>
      <c r="Q23" s="23"/>
      <c r="R23" s="13"/>
    </row>
    <row r="24" spans="1:18" ht="17.399999999999999" customHeight="1" x14ac:dyDescent="0.3">
      <c r="A24" s="6"/>
      <c r="B24" s="6"/>
      <c r="C24" s="16" t="s">
        <v>64</v>
      </c>
      <c r="D24" s="34" t="s">
        <v>116</v>
      </c>
      <c r="E24" s="17" t="s">
        <v>49</v>
      </c>
      <c r="F24" s="30"/>
      <c r="G24" s="30"/>
      <c r="H24" s="30"/>
      <c r="I24" s="30"/>
      <c r="J24" s="30"/>
      <c r="K24" s="30"/>
      <c r="L24" s="12"/>
      <c r="M24" s="32"/>
      <c r="N24" s="22"/>
      <c r="O24" s="33"/>
      <c r="P24" s="23"/>
      <c r="Q24" s="23"/>
      <c r="R24" s="13"/>
    </row>
    <row r="25" spans="1:18" ht="17.399999999999999" customHeight="1" x14ac:dyDescent="0.3">
      <c r="A25" s="6"/>
      <c r="B25" s="6"/>
      <c r="C25" s="16" t="s">
        <v>65</v>
      </c>
      <c r="E25" s="18"/>
      <c r="F25" s="30"/>
      <c r="G25" s="30"/>
      <c r="I25" s="12"/>
      <c r="J25" s="30"/>
      <c r="K25" s="30"/>
      <c r="L25" s="12"/>
      <c r="M25" s="32"/>
      <c r="N25" s="22"/>
      <c r="O25" s="33"/>
      <c r="P25" s="23"/>
      <c r="Q25" s="23"/>
      <c r="R25" s="13"/>
    </row>
    <row r="26" spans="1:18" ht="17.399999999999999" customHeight="1" x14ac:dyDescent="0.3">
      <c r="A26" s="6"/>
      <c r="B26" s="6"/>
      <c r="C26" s="16" t="s">
        <v>66</v>
      </c>
      <c r="E26" s="18"/>
      <c r="F26" s="30"/>
      <c r="G26" s="30"/>
      <c r="I26" s="12"/>
      <c r="J26" s="30"/>
      <c r="K26" s="30"/>
      <c r="L26" s="12"/>
      <c r="M26" s="32"/>
      <c r="N26" s="22"/>
      <c r="O26" s="33"/>
      <c r="P26" s="23"/>
      <c r="Q26" s="23"/>
      <c r="R26" s="13"/>
    </row>
    <row r="27" spans="1:18" ht="17.399999999999999" customHeight="1" x14ac:dyDescent="0.3">
      <c r="A27" s="6"/>
      <c r="B27" s="6"/>
      <c r="C27" s="16" t="s">
        <v>67</v>
      </c>
      <c r="E27" s="18"/>
      <c r="F27" s="30"/>
      <c r="G27" s="30"/>
      <c r="I27" s="12"/>
      <c r="J27" s="30"/>
      <c r="K27" s="30"/>
      <c r="L27" s="12"/>
      <c r="M27" s="32"/>
      <c r="N27" s="22"/>
      <c r="O27" s="33"/>
      <c r="P27" s="23"/>
      <c r="Q27" s="23"/>
      <c r="R27" s="13"/>
    </row>
    <row r="28" spans="1:18" ht="17.399999999999999" customHeight="1" x14ac:dyDescent="0.3">
      <c r="A28" s="6"/>
      <c r="B28" s="6"/>
      <c r="C28" s="18"/>
      <c r="E28" s="18"/>
      <c r="F28" s="30"/>
      <c r="G28" s="30"/>
      <c r="I28" s="12"/>
      <c r="J28" s="30"/>
      <c r="K28" s="30"/>
      <c r="L28" s="12"/>
      <c r="M28" s="32"/>
      <c r="N28" s="22"/>
      <c r="O28" s="33"/>
      <c r="P28" s="23"/>
      <c r="Q28" s="23"/>
      <c r="R28" s="13"/>
    </row>
    <row r="29" spans="1:18" ht="17.399999999999999" customHeight="1" x14ac:dyDescent="0.3">
      <c r="A29" s="13"/>
      <c r="B29" s="6"/>
      <c r="C29" s="12"/>
      <c r="D29" s="12"/>
      <c r="E29" s="18"/>
      <c r="F29" s="30"/>
      <c r="G29" s="30"/>
      <c r="H29" s="30"/>
      <c r="I29" s="30"/>
      <c r="J29" s="30"/>
      <c r="K29" s="30"/>
      <c r="L29" s="12"/>
      <c r="M29" s="32"/>
      <c r="N29" s="22"/>
      <c r="O29" s="33"/>
      <c r="P29" s="23"/>
      <c r="Q29" s="23"/>
      <c r="R29" s="13"/>
    </row>
    <row r="30" spans="1:18" ht="17.399999999999999" customHeight="1" x14ac:dyDescent="0.3">
      <c r="A30" s="35"/>
      <c r="B30" s="35"/>
      <c r="C30" s="12"/>
      <c r="D30" s="12"/>
      <c r="E30" s="18"/>
      <c r="F30" s="12"/>
      <c r="G30" s="12"/>
      <c r="H30" s="12"/>
      <c r="I30" s="12"/>
      <c r="J30" s="12"/>
      <c r="K30" s="12"/>
      <c r="L30" s="12"/>
      <c r="M30" s="32"/>
      <c r="N30" s="22"/>
      <c r="O30" s="33"/>
      <c r="P30" s="23"/>
      <c r="Q30" s="23"/>
      <c r="R30" s="13"/>
    </row>
    <row r="31" spans="1:18" ht="17.399999999999999" customHeight="1" x14ac:dyDescent="0.3">
      <c r="A31" s="35"/>
      <c r="B31" s="35"/>
      <c r="C31" s="10" t="s">
        <v>40</v>
      </c>
      <c r="D31" s="10"/>
      <c r="E31" s="37"/>
      <c r="F31" s="12"/>
      <c r="G31" s="12"/>
      <c r="H31" s="12"/>
      <c r="I31" s="12"/>
      <c r="J31" s="12"/>
      <c r="K31" s="12"/>
      <c r="L31" s="12"/>
      <c r="M31" s="32"/>
      <c r="N31" s="22"/>
      <c r="O31" s="33"/>
      <c r="P31" s="23"/>
      <c r="Q31" s="23"/>
      <c r="R31" s="13"/>
    </row>
    <row r="32" spans="1:18" ht="17.399999999999999" customHeight="1" x14ac:dyDescent="0.3">
      <c r="A32" s="35"/>
      <c r="B32" s="35"/>
      <c r="C32" s="17" t="s">
        <v>117</v>
      </c>
      <c r="D32" s="16" t="s">
        <v>53</v>
      </c>
      <c r="E32" s="18"/>
      <c r="G32" s="12"/>
      <c r="H32" s="12"/>
      <c r="I32" s="12"/>
      <c r="J32" s="12"/>
      <c r="K32" s="12"/>
      <c r="L32" s="12"/>
      <c r="M32" s="32"/>
      <c r="N32" s="22"/>
      <c r="O32" s="33"/>
      <c r="P32" s="23"/>
      <c r="Q32" s="23"/>
      <c r="R32" s="13"/>
    </row>
    <row r="33" spans="1:18" ht="17.399999999999999" customHeight="1" x14ac:dyDescent="0.3">
      <c r="A33" s="6"/>
      <c r="B33" s="35"/>
      <c r="C33" s="17" t="s">
        <v>118</v>
      </c>
      <c r="D33" s="16" t="s">
        <v>74</v>
      </c>
      <c r="E33" s="18" t="s">
        <v>138</v>
      </c>
      <c r="G33" s="12"/>
      <c r="H33" s="12"/>
      <c r="I33" s="12"/>
      <c r="J33" s="12"/>
      <c r="K33" s="12"/>
      <c r="L33" s="36"/>
      <c r="M33" s="32"/>
      <c r="N33" s="22"/>
      <c r="O33" s="33"/>
      <c r="P33" s="23"/>
      <c r="Q33" s="23"/>
      <c r="R33" s="13"/>
    </row>
    <row r="34" spans="1:18" ht="17.399999999999999" customHeight="1" x14ac:dyDescent="0.3">
      <c r="A34" s="6"/>
      <c r="B34" s="35"/>
      <c r="C34" s="17" t="s">
        <v>119</v>
      </c>
      <c r="D34" s="16" t="s">
        <v>49</v>
      </c>
      <c r="E34" s="18"/>
      <c r="G34" s="12"/>
      <c r="H34" s="12"/>
      <c r="I34" s="12"/>
      <c r="J34" s="12"/>
      <c r="K34" s="12"/>
      <c r="L34" s="12"/>
      <c r="M34" s="32"/>
      <c r="N34" s="22"/>
      <c r="O34" s="33"/>
      <c r="P34" s="23"/>
      <c r="Q34" s="23"/>
      <c r="R34" s="13"/>
    </row>
    <row r="35" spans="1:18" ht="17.399999999999999" customHeight="1" x14ac:dyDescent="0.3">
      <c r="A35" s="6"/>
      <c r="B35" s="35"/>
      <c r="C35" s="17" t="s">
        <v>120</v>
      </c>
      <c r="D35" s="16" t="s">
        <v>74</v>
      </c>
      <c r="E35" s="18"/>
      <c r="G35" s="12"/>
      <c r="H35" s="12"/>
      <c r="I35" s="12"/>
      <c r="J35" s="12"/>
      <c r="K35" s="12"/>
      <c r="L35" s="12"/>
      <c r="M35" s="32"/>
      <c r="N35" s="22"/>
      <c r="O35" s="33"/>
      <c r="P35" s="23"/>
      <c r="Q35" s="23"/>
      <c r="R35" s="13"/>
    </row>
    <row r="36" spans="1:18" ht="17.399999999999999" customHeight="1" x14ac:dyDescent="0.3">
      <c r="A36" s="27"/>
      <c r="B36" s="6"/>
      <c r="C36" s="17" t="s">
        <v>121</v>
      </c>
      <c r="D36" s="16" t="s">
        <v>53</v>
      </c>
      <c r="E36" s="18"/>
      <c r="G36" s="12"/>
      <c r="H36" s="12"/>
      <c r="I36" s="12"/>
      <c r="J36" s="12"/>
      <c r="K36" s="12"/>
      <c r="L36" s="12"/>
      <c r="M36" s="32"/>
      <c r="N36" s="22"/>
      <c r="O36" s="33"/>
      <c r="P36" s="23"/>
      <c r="Q36" s="23"/>
      <c r="R36" s="13"/>
    </row>
    <row r="37" spans="1:18" ht="17.399999999999999" customHeight="1" x14ac:dyDescent="0.3">
      <c r="A37" s="6"/>
      <c r="B37" s="6"/>
      <c r="C37" s="17" t="s">
        <v>115</v>
      </c>
      <c r="D37" s="16" t="s">
        <v>116</v>
      </c>
      <c r="E37" s="18"/>
      <c r="G37" s="12"/>
      <c r="H37" s="12"/>
      <c r="I37" s="12"/>
      <c r="J37" s="12"/>
      <c r="K37" s="12"/>
      <c r="L37" s="12"/>
      <c r="M37" s="32"/>
      <c r="N37" s="22"/>
      <c r="O37" s="33"/>
      <c r="P37" s="23"/>
      <c r="Q37" s="23"/>
      <c r="R37" s="13"/>
    </row>
    <row r="38" spans="1:18" ht="17.399999999999999" customHeight="1" x14ac:dyDescent="0.3">
      <c r="A38" s="6"/>
      <c r="B38" s="6"/>
      <c r="C38" s="18"/>
      <c r="D38" s="12"/>
      <c r="E38" s="18"/>
      <c r="G38" s="12"/>
      <c r="H38" s="12"/>
      <c r="I38" s="12"/>
      <c r="J38" s="12"/>
      <c r="K38" s="12"/>
      <c r="L38" s="12"/>
      <c r="M38" s="32"/>
      <c r="N38" s="22"/>
      <c r="O38" s="33"/>
      <c r="P38" s="23"/>
      <c r="Q38" s="23"/>
      <c r="R38" s="13"/>
    </row>
    <row r="39" spans="1:18" ht="17.399999999999999" customHeight="1" x14ac:dyDescent="0.3">
      <c r="A39" s="6"/>
      <c r="B39" s="6"/>
      <c r="C39" s="12"/>
      <c r="D39" s="12"/>
      <c r="E39" s="18"/>
      <c r="F39" s="12"/>
      <c r="G39" s="12"/>
      <c r="H39" s="12"/>
      <c r="I39" s="12"/>
      <c r="J39" s="12"/>
      <c r="K39" s="12"/>
      <c r="L39" s="12"/>
      <c r="M39" s="32"/>
      <c r="N39" s="22"/>
      <c r="O39" s="33"/>
      <c r="P39" s="23"/>
      <c r="Q39" s="23"/>
      <c r="R39" s="13"/>
    </row>
    <row r="40" spans="1:18" ht="17.399999999999999" customHeight="1" x14ac:dyDescent="0.3">
      <c r="A40" s="6"/>
      <c r="B40" s="27"/>
      <c r="C40" s="10" t="s">
        <v>41</v>
      </c>
      <c r="D40" s="10"/>
      <c r="E40" s="37"/>
      <c r="F40" s="12"/>
      <c r="G40" s="12"/>
      <c r="H40" s="12"/>
      <c r="I40" s="12"/>
      <c r="J40" s="12"/>
      <c r="K40" s="12"/>
      <c r="L40" s="12"/>
      <c r="M40" s="32"/>
      <c r="N40" s="22"/>
      <c r="O40" s="33"/>
      <c r="P40" s="23"/>
      <c r="Q40" s="23"/>
      <c r="R40" s="13"/>
    </row>
    <row r="41" spans="1:18" ht="17.399999999999999" customHeight="1" x14ac:dyDescent="0.3">
      <c r="A41" s="6"/>
      <c r="B41" s="6"/>
      <c r="C41" s="17" t="s">
        <v>122</v>
      </c>
      <c r="D41" s="17" t="s">
        <v>49</v>
      </c>
      <c r="E41" s="18"/>
      <c r="F41" s="12"/>
      <c r="G41" s="12"/>
      <c r="H41" s="12"/>
      <c r="I41" s="12"/>
      <c r="J41" s="12"/>
      <c r="K41" s="12"/>
      <c r="L41" s="12"/>
      <c r="M41" s="32"/>
      <c r="N41" s="22"/>
      <c r="O41" s="33"/>
      <c r="P41" s="23"/>
      <c r="Q41" s="23"/>
      <c r="R41" s="13"/>
    </row>
    <row r="42" spans="1:18" ht="17.399999999999999" customHeight="1" x14ac:dyDescent="0.3">
      <c r="A42" s="6"/>
      <c r="B42" s="6"/>
      <c r="C42" s="17" t="s">
        <v>68</v>
      </c>
      <c r="D42" s="17" t="s">
        <v>74</v>
      </c>
      <c r="E42" s="18"/>
      <c r="F42" s="12"/>
      <c r="G42" s="12"/>
      <c r="H42" s="12"/>
      <c r="I42" s="12"/>
      <c r="J42" s="12"/>
      <c r="K42" s="12"/>
      <c r="L42" s="36"/>
      <c r="M42" s="32"/>
      <c r="N42" s="22"/>
      <c r="O42" s="33"/>
      <c r="P42" s="23"/>
      <c r="Q42" s="23"/>
      <c r="R42" s="13"/>
    </row>
    <row r="43" spans="1:18" ht="17.399999999999999" customHeight="1" x14ac:dyDescent="0.3">
      <c r="A43" s="6"/>
      <c r="B43" s="6"/>
      <c r="C43" s="17" t="s">
        <v>123</v>
      </c>
      <c r="D43" s="17" t="s">
        <v>53</v>
      </c>
      <c r="E43" s="18"/>
      <c r="F43" s="12"/>
      <c r="G43" s="12"/>
      <c r="H43" s="12"/>
      <c r="I43" s="12"/>
      <c r="J43" s="12"/>
      <c r="K43" s="12"/>
      <c r="L43" s="36"/>
      <c r="M43" s="32"/>
      <c r="N43" s="22"/>
      <c r="O43" s="33"/>
      <c r="P43" s="23"/>
      <c r="Q43" s="23"/>
      <c r="R43" s="13"/>
    </row>
    <row r="44" spans="1:18" ht="17.399999999999999" customHeight="1" x14ac:dyDescent="0.3">
      <c r="A44" s="6"/>
      <c r="B44" s="6"/>
      <c r="C44" s="12"/>
      <c r="D44" s="12"/>
      <c r="E44" s="18"/>
      <c r="F44" s="12"/>
      <c r="G44" s="12"/>
      <c r="H44" s="12"/>
      <c r="I44" s="12"/>
      <c r="J44" s="12"/>
      <c r="K44" s="12"/>
      <c r="L44" s="36"/>
      <c r="M44" s="32"/>
      <c r="N44" s="22"/>
      <c r="O44" s="33"/>
      <c r="P44" s="23"/>
      <c r="Q44" s="23"/>
      <c r="R44" s="13"/>
    </row>
    <row r="45" spans="1:18" ht="17.399999999999999" customHeight="1" x14ac:dyDescent="0.3">
      <c r="A45" s="6"/>
      <c r="B45" s="6"/>
      <c r="C45" s="9" t="s">
        <v>19</v>
      </c>
      <c r="D45" s="9"/>
      <c r="E45" s="37"/>
      <c r="F45" s="12"/>
      <c r="G45" s="12"/>
      <c r="H45" s="12"/>
      <c r="I45" s="12"/>
      <c r="J45" s="12"/>
      <c r="K45" s="12"/>
      <c r="L45" s="36"/>
      <c r="M45" s="32"/>
      <c r="N45" s="22"/>
      <c r="O45" s="33"/>
      <c r="P45" s="23"/>
      <c r="Q45" s="23"/>
      <c r="R45" s="13"/>
    </row>
    <row r="46" spans="1:18" ht="17.399999999999999" customHeight="1" x14ac:dyDescent="0.3">
      <c r="A46" s="6"/>
      <c r="B46" s="6"/>
      <c r="C46" s="17" t="s">
        <v>69</v>
      </c>
      <c r="D46" s="17" t="s">
        <v>49</v>
      </c>
      <c r="E46" s="18"/>
      <c r="F46" s="12"/>
      <c r="G46" s="12"/>
      <c r="H46" s="12"/>
      <c r="I46" s="12"/>
      <c r="J46" s="12"/>
      <c r="K46" s="12"/>
      <c r="L46" s="36"/>
      <c r="M46" s="32"/>
      <c r="N46" s="22"/>
      <c r="O46" s="33"/>
      <c r="P46" s="23"/>
      <c r="Q46" s="23"/>
      <c r="R46" s="13"/>
    </row>
    <row r="47" spans="1:18" ht="17.399999999999999" customHeight="1" x14ac:dyDescent="0.3">
      <c r="A47" s="27"/>
      <c r="B47" s="6"/>
      <c r="C47" s="17" t="s">
        <v>70</v>
      </c>
      <c r="D47" s="17" t="s">
        <v>74</v>
      </c>
      <c r="E47" s="18"/>
      <c r="F47" s="12"/>
      <c r="G47" s="12"/>
      <c r="H47" s="12"/>
      <c r="I47" s="12"/>
      <c r="J47" s="12"/>
      <c r="K47" s="12"/>
      <c r="L47" s="36"/>
      <c r="M47" s="32"/>
      <c r="N47" s="22"/>
      <c r="O47" s="33"/>
      <c r="P47" s="23"/>
      <c r="Q47" s="23"/>
      <c r="R47" s="13"/>
    </row>
    <row r="48" spans="1:18" ht="17.399999999999999" customHeight="1" x14ac:dyDescent="0.3">
      <c r="A48" s="6"/>
      <c r="B48" s="6"/>
      <c r="C48" s="17" t="s">
        <v>71</v>
      </c>
      <c r="D48" s="17" t="s">
        <v>53</v>
      </c>
      <c r="E48" s="18"/>
      <c r="F48" s="12"/>
      <c r="G48" s="12"/>
      <c r="H48" s="12"/>
      <c r="I48" s="12"/>
      <c r="J48" s="12"/>
      <c r="K48" s="12"/>
      <c r="L48" s="36"/>
      <c r="M48" s="32"/>
      <c r="N48" s="22"/>
      <c r="O48" s="33"/>
      <c r="P48" s="23"/>
      <c r="Q48" s="23"/>
      <c r="R48" s="13"/>
    </row>
    <row r="49" spans="1:18" ht="17.399999999999999" customHeight="1" x14ac:dyDescent="0.3">
      <c r="A49" s="6"/>
      <c r="B49" s="6"/>
      <c r="C49" s="12"/>
      <c r="D49" s="12"/>
      <c r="E49" s="18"/>
      <c r="F49" s="12"/>
      <c r="G49" s="12"/>
      <c r="H49" s="12"/>
      <c r="I49" s="12"/>
      <c r="J49" s="12"/>
      <c r="K49" s="12"/>
      <c r="L49" s="12"/>
      <c r="M49" s="32"/>
      <c r="N49" s="22"/>
      <c r="O49" s="33"/>
      <c r="P49" s="23"/>
      <c r="Q49" s="23"/>
      <c r="R49" s="13"/>
    </row>
    <row r="50" spans="1:18" ht="17.399999999999999" customHeight="1" x14ac:dyDescent="0.3">
      <c r="A50" s="6"/>
      <c r="B50" s="6"/>
      <c r="C50" s="9"/>
      <c r="D50" s="9"/>
      <c r="E50" s="37"/>
      <c r="F50" s="9"/>
      <c r="G50" s="9"/>
      <c r="H50" s="9"/>
      <c r="I50" s="9"/>
      <c r="J50" s="9"/>
      <c r="K50" s="9"/>
      <c r="L50" s="12"/>
      <c r="M50" s="32"/>
      <c r="N50" s="22"/>
      <c r="O50" s="33"/>
      <c r="P50" s="23"/>
      <c r="Q50" s="23"/>
      <c r="R50" s="13"/>
    </row>
    <row r="51" spans="1:18" ht="17.399999999999999" customHeight="1" x14ac:dyDescent="0.3">
      <c r="A51" s="6"/>
      <c r="B51" s="27"/>
      <c r="C51" s="49" t="s">
        <v>45</v>
      </c>
      <c r="D51" s="49"/>
      <c r="E51" s="50"/>
      <c r="F51" s="36"/>
      <c r="G51" s="36"/>
      <c r="H51" s="36"/>
      <c r="I51" s="36"/>
      <c r="J51" s="36"/>
      <c r="K51" s="36"/>
      <c r="L51" s="12"/>
      <c r="M51" s="32"/>
      <c r="N51" s="22"/>
      <c r="O51" s="33"/>
      <c r="P51" s="23"/>
      <c r="Q51" s="23"/>
      <c r="R51" s="13"/>
    </row>
    <row r="52" spans="1:18" ht="17.399999999999999" customHeight="1" x14ac:dyDescent="0.3">
      <c r="A52" s="6"/>
      <c r="B52" s="6"/>
      <c r="C52" s="17" t="s">
        <v>77</v>
      </c>
      <c r="D52" s="17" t="s">
        <v>49</v>
      </c>
      <c r="E52" s="18"/>
      <c r="F52" s="12"/>
      <c r="G52" s="12"/>
      <c r="H52" s="12"/>
      <c r="I52" s="12"/>
      <c r="J52" s="12"/>
      <c r="K52" s="12"/>
      <c r="L52" s="12"/>
      <c r="M52" s="32"/>
      <c r="N52" s="22"/>
      <c r="O52" s="33"/>
      <c r="P52" s="23"/>
      <c r="Q52" s="23"/>
      <c r="R52" s="13"/>
    </row>
    <row r="53" spans="1:18" ht="17.399999999999999" customHeight="1" x14ac:dyDescent="0.3">
      <c r="A53" s="6"/>
      <c r="B53" s="6"/>
      <c r="C53" s="17" t="s">
        <v>50</v>
      </c>
      <c r="D53" s="17" t="s">
        <v>95</v>
      </c>
      <c r="E53" s="18"/>
      <c r="F53" s="12"/>
      <c r="G53" s="12"/>
      <c r="H53" s="12"/>
      <c r="I53" s="12"/>
      <c r="J53" s="12"/>
      <c r="K53" s="12"/>
      <c r="L53" s="12"/>
      <c r="M53" s="32"/>
      <c r="N53" s="22"/>
      <c r="O53" s="33"/>
      <c r="P53" s="23"/>
      <c r="Q53" s="23"/>
      <c r="R53" s="13"/>
    </row>
    <row r="54" spans="1:18" ht="17.399999999999999" customHeight="1" x14ac:dyDescent="0.3">
      <c r="A54" s="6"/>
      <c r="B54" s="6"/>
      <c r="C54" s="18"/>
      <c r="D54" s="18"/>
      <c r="E54" s="18"/>
      <c r="F54" s="12"/>
      <c r="G54" s="12"/>
      <c r="H54" s="12"/>
      <c r="I54" s="12"/>
      <c r="J54" s="12"/>
      <c r="K54" s="12"/>
      <c r="L54" s="12"/>
      <c r="M54" s="32"/>
      <c r="N54" s="22"/>
      <c r="O54" s="33"/>
      <c r="P54" s="23"/>
      <c r="Q54" s="23"/>
      <c r="R54" s="13"/>
    </row>
    <row r="55" spans="1:18" ht="17.399999999999999" customHeight="1" x14ac:dyDescent="0.3">
      <c r="A55" s="6"/>
      <c r="B55" s="6"/>
      <c r="C55" s="12"/>
      <c r="D55" s="12"/>
      <c r="E55" s="18"/>
      <c r="F55" s="12"/>
      <c r="G55" s="12"/>
      <c r="H55" s="12"/>
      <c r="I55" s="12"/>
      <c r="J55" s="12"/>
      <c r="K55" s="12"/>
      <c r="L55" s="12"/>
      <c r="M55" s="32"/>
      <c r="N55" s="22"/>
      <c r="O55" s="33"/>
      <c r="P55" s="23"/>
      <c r="Q55" s="23"/>
      <c r="R55" s="13"/>
    </row>
    <row r="56" spans="1:18" ht="17.399999999999999" customHeight="1" x14ac:dyDescent="0.3">
      <c r="A56" s="7"/>
      <c r="B56" s="6"/>
      <c r="C56" s="10" t="s">
        <v>21</v>
      </c>
      <c r="D56" s="10"/>
      <c r="E56" s="37"/>
      <c r="F56" s="12"/>
      <c r="G56" s="12"/>
      <c r="H56" s="12"/>
      <c r="I56" s="12"/>
      <c r="J56" s="12"/>
      <c r="K56" s="12"/>
      <c r="L56" s="12"/>
      <c r="M56" s="32"/>
      <c r="N56" s="22"/>
      <c r="O56" s="33"/>
      <c r="P56" s="23"/>
      <c r="Q56" s="23"/>
      <c r="R56" s="13"/>
    </row>
    <row r="57" spans="1:18" ht="17.399999999999999" customHeight="1" x14ac:dyDescent="0.3">
      <c r="A57" s="7"/>
      <c r="B57" s="6"/>
      <c r="C57" s="17" t="s">
        <v>124</v>
      </c>
      <c r="D57" s="17" t="s">
        <v>74</v>
      </c>
      <c r="E57" s="18"/>
      <c r="F57" s="12"/>
      <c r="G57" s="12"/>
      <c r="H57" s="12"/>
      <c r="I57" s="12"/>
      <c r="J57" s="12"/>
      <c r="K57" s="12"/>
      <c r="L57" s="12"/>
      <c r="M57" s="32"/>
      <c r="N57" s="22"/>
      <c r="O57" s="33"/>
      <c r="P57" s="23"/>
      <c r="Q57" s="23"/>
      <c r="R57" s="13"/>
    </row>
    <row r="58" spans="1:18" ht="17.399999999999999" customHeight="1" x14ac:dyDescent="0.3">
      <c r="A58" s="7"/>
      <c r="B58" s="6"/>
      <c r="C58" s="17" t="s">
        <v>125</v>
      </c>
      <c r="D58" s="17" t="s">
        <v>74</v>
      </c>
      <c r="E58" s="18"/>
      <c r="F58" s="12"/>
      <c r="G58" s="12"/>
      <c r="H58" s="12"/>
      <c r="I58" s="12"/>
      <c r="J58" s="12"/>
      <c r="K58" s="12"/>
      <c r="L58" s="12"/>
      <c r="M58" s="32"/>
      <c r="N58" s="22"/>
      <c r="O58" s="33"/>
      <c r="P58" s="23"/>
      <c r="Q58" s="23"/>
      <c r="R58" s="13"/>
    </row>
    <row r="59" spans="1:18" ht="17.399999999999999" customHeight="1" x14ac:dyDescent="0.3">
      <c r="A59" s="7"/>
      <c r="B59" s="6"/>
      <c r="C59" s="17" t="s">
        <v>126</v>
      </c>
      <c r="D59" s="17" t="s">
        <v>49</v>
      </c>
      <c r="E59" s="18"/>
      <c r="F59" s="12"/>
      <c r="G59" s="12"/>
      <c r="H59" s="12"/>
      <c r="I59" s="12"/>
      <c r="J59" s="12"/>
      <c r="K59" s="12"/>
      <c r="L59" s="12"/>
      <c r="M59" s="32"/>
      <c r="N59" s="22"/>
      <c r="O59" s="33"/>
      <c r="P59" s="23"/>
      <c r="Q59" s="23"/>
      <c r="R59" s="13"/>
    </row>
    <row r="60" spans="1:18" ht="17.399999999999999" customHeight="1" x14ac:dyDescent="0.3">
      <c r="A60" s="7"/>
      <c r="B60" s="6"/>
      <c r="E60" s="18"/>
      <c r="F60" s="12"/>
      <c r="G60" s="12"/>
      <c r="H60" s="12"/>
      <c r="I60" s="12"/>
      <c r="J60" s="12"/>
      <c r="K60" s="12"/>
      <c r="L60" s="12"/>
      <c r="M60" s="32"/>
      <c r="N60" s="22"/>
      <c r="O60" s="33"/>
      <c r="P60" s="23"/>
      <c r="Q60" s="23"/>
      <c r="R60" s="13"/>
    </row>
    <row r="61" spans="1:18" ht="17.399999999999999" customHeight="1" x14ac:dyDescent="0.3">
      <c r="A61" s="7"/>
      <c r="B61" s="7"/>
      <c r="C61" s="12"/>
      <c r="D61" s="12"/>
      <c r="E61" s="18"/>
      <c r="F61" s="12"/>
      <c r="G61" s="12"/>
      <c r="H61" s="12"/>
      <c r="I61" s="12"/>
      <c r="J61" s="12"/>
      <c r="K61" s="12"/>
      <c r="L61" s="12"/>
      <c r="M61" s="32"/>
      <c r="N61" s="22"/>
      <c r="O61" s="33"/>
      <c r="P61" s="23"/>
      <c r="Q61" s="23"/>
      <c r="R61" s="13"/>
    </row>
    <row r="62" spans="1:18" ht="17.399999999999999" customHeight="1" x14ac:dyDescent="0.3">
      <c r="A62" s="27"/>
      <c r="B62" s="7"/>
      <c r="C62" s="10" t="s">
        <v>72</v>
      </c>
      <c r="D62" s="10"/>
      <c r="E62" s="37"/>
      <c r="F62" s="12"/>
      <c r="G62" s="12"/>
      <c r="H62" s="12"/>
      <c r="I62" s="12"/>
      <c r="J62" s="12"/>
      <c r="K62" s="12"/>
      <c r="L62" s="12"/>
      <c r="M62" s="32"/>
      <c r="N62" s="22"/>
      <c r="O62" s="33"/>
      <c r="P62" s="23"/>
      <c r="Q62" s="23"/>
      <c r="R62" s="13"/>
    </row>
    <row r="63" spans="1:18" ht="17.399999999999999" customHeight="1" x14ac:dyDescent="0.3">
      <c r="A63" s="6"/>
      <c r="B63" s="7"/>
      <c r="C63" s="17" t="s">
        <v>127</v>
      </c>
      <c r="D63" s="17" t="s">
        <v>53</v>
      </c>
      <c r="E63" s="18"/>
      <c r="F63" s="12"/>
      <c r="G63" s="12"/>
      <c r="H63" s="12"/>
      <c r="I63" s="12"/>
      <c r="J63" s="12"/>
      <c r="K63" s="12"/>
      <c r="L63" s="12"/>
      <c r="M63" s="32"/>
      <c r="N63" s="22"/>
      <c r="O63" s="33"/>
      <c r="P63" s="23"/>
      <c r="Q63" s="23"/>
      <c r="R63" s="13"/>
    </row>
    <row r="64" spans="1:18" ht="17.399999999999999" customHeight="1" x14ac:dyDescent="0.3">
      <c r="A64" s="6"/>
      <c r="B64" s="7"/>
      <c r="C64" s="17" t="s">
        <v>73</v>
      </c>
      <c r="D64" s="17" t="s">
        <v>74</v>
      </c>
      <c r="E64" s="18"/>
      <c r="F64" s="12"/>
      <c r="G64" s="12"/>
      <c r="H64" s="12"/>
      <c r="I64" s="12"/>
      <c r="J64" s="12"/>
      <c r="K64" s="12"/>
      <c r="L64" s="12"/>
      <c r="M64" s="32"/>
      <c r="N64" s="22"/>
      <c r="O64" s="33"/>
      <c r="P64" s="23"/>
      <c r="Q64" s="23"/>
      <c r="R64" s="13"/>
    </row>
    <row r="65" spans="1:18" ht="17.399999999999999" customHeight="1" x14ac:dyDescent="0.3">
      <c r="A65" s="38"/>
      <c r="B65" s="7"/>
      <c r="C65" s="17" t="s">
        <v>128</v>
      </c>
      <c r="D65" s="17" t="s">
        <v>49</v>
      </c>
      <c r="E65" s="18"/>
      <c r="F65" s="12"/>
      <c r="G65" s="12"/>
      <c r="H65" s="12"/>
      <c r="I65" s="12"/>
      <c r="J65" s="12"/>
      <c r="K65" s="12"/>
      <c r="L65" s="12"/>
      <c r="M65" s="32"/>
      <c r="N65" s="22"/>
      <c r="O65" s="33"/>
      <c r="P65" s="23"/>
      <c r="Q65" s="23"/>
      <c r="R65" s="13"/>
    </row>
    <row r="66" spans="1:18" ht="17.399999999999999" customHeight="1" x14ac:dyDescent="0.3">
      <c r="A66" s="39"/>
      <c r="B66" s="7"/>
      <c r="C66" s="12"/>
      <c r="D66" s="12"/>
      <c r="E66" s="18"/>
      <c r="F66" s="12"/>
      <c r="G66" s="12"/>
      <c r="H66" s="12"/>
      <c r="I66" s="12"/>
      <c r="J66" s="12"/>
      <c r="K66" s="12"/>
      <c r="L66" s="12"/>
      <c r="M66" s="32"/>
      <c r="N66" s="22"/>
      <c r="O66" s="33"/>
      <c r="P66" s="23"/>
      <c r="Q66" s="23"/>
      <c r="R66" s="13"/>
    </row>
    <row r="67" spans="1:18" ht="17.399999999999999" customHeight="1" x14ac:dyDescent="0.3">
      <c r="A67" s="1"/>
      <c r="B67" s="1"/>
      <c r="C67" s="10" t="s">
        <v>43</v>
      </c>
      <c r="D67" s="10"/>
      <c r="E67" s="37"/>
      <c r="F67" s="12"/>
      <c r="G67" s="12"/>
      <c r="H67" s="12"/>
      <c r="I67" s="12"/>
      <c r="J67" s="12"/>
      <c r="K67" s="12"/>
      <c r="L67" s="12"/>
      <c r="M67" s="32"/>
      <c r="N67" s="22"/>
      <c r="O67" s="33"/>
      <c r="P67" s="23"/>
      <c r="Q67" s="23"/>
      <c r="R67" s="13"/>
    </row>
    <row r="68" spans="1:18" ht="17.399999999999999" customHeight="1" x14ac:dyDescent="0.3">
      <c r="A68" s="1"/>
      <c r="B68" s="1"/>
      <c r="C68" s="17" t="s">
        <v>98</v>
      </c>
      <c r="D68" s="16" t="s">
        <v>49</v>
      </c>
      <c r="E68" s="18"/>
      <c r="F68" s="12"/>
      <c r="G68" s="12"/>
      <c r="H68" s="12"/>
      <c r="I68" s="12"/>
      <c r="J68" s="12"/>
      <c r="K68" s="12"/>
      <c r="L68" s="12"/>
      <c r="M68" s="32"/>
      <c r="N68" s="22"/>
      <c r="O68" s="33"/>
      <c r="P68" s="23"/>
      <c r="Q68" s="23"/>
      <c r="R68" s="13"/>
    </row>
    <row r="69" spans="1:18" ht="17.399999999999999" customHeight="1" x14ac:dyDescent="0.3">
      <c r="A69" s="1"/>
      <c r="B69" s="1"/>
      <c r="C69" s="17" t="s">
        <v>99</v>
      </c>
      <c r="D69" s="16" t="s">
        <v>74</v>
      </c>
      <c r="E69" s="18"/>
      <c r="F69" s="12"/>
      <c r="G69" s="12"/>
      <c r="H69" s="12"/>
      <c r="I69" s="12"/>
      <c r="J69" s="12"/>
      <c r="K69" s="12"/>
      <c r="L69" s="12"/>
      <c r="M69" s="32"/>
      <c r="N69" s="22"/>
      <c r="O69" s="33"/>
      <c r="P69" s="23"/>
      <c r="Q69" s="23"/>
      <c r="R69" s="13"/>
    </row>
    <row r="70" spans="1:18" ht="17.399999999999999" customHeight="1" x14ac:dyDescent="0.3">
      <c r="A70" s="2"/>
      <c r="B70" s="1"/>
      <c r="C70" s="17" t="s">
        <v>100</v>
      </c>
      <c r="D70" s="16" t="s">
        <v>53</v>
      </c>
      <c r="E70" s="18"/>
      <c r="F70" s="12"/>
      <c r="G70" s="12"/>
      <c r="H70" s="12"/>
      <c r="I70" s="12"/>
      <c r="J70" s="12"/>
      <c r="K70" s="12"/>
      <c r="L70" s="12"/>
      <c r="M70" s="32"/>
      <c r="N70" s="22"/>
      <c r="O70" s="33"/>
      <c r="P70" s="23"/>
      <c r="Q70" s="23"/>
      <c r="R70" s="13"/>
    </row>
    <row r="71" spans="1:18" ht="17.399999999999999" customHeight="1" x14ac:dyDescent="0.3">
      <c r="A71" s="6"/>
      <c r="B71" s="1"/>
      <c r="C71" s="17" t="s">
        <v>101</v>
      </c>
      <c r="D71" s="16" t="s">
        <v>95</v>
      </c>
      <c r="E71" s="18"/>
      <c r="F71" s="12"/>
      <c r="G71" s="12"/>
      <c r="H71" s="12"/>
      <c r="I71" s="12"/>
      <c r="J71" s="12"/>
      <c r="K71" s="12"/>
      <c r="L71" s="12"/>
      <c r="M71" s="32"/>
      <c r="N71" s="22"/>
      <c r="O71" s="33"/>
      <c r="P71" s="23"/>
      <c r="Q71" s="23"/>
      <c r="R71" s="13"/>
    </row>
    <row r="72" spans="1:18" ht="17.399999999999999" customHeight="1" x14ac:dyDescent="0.3">
      <c r="A72" s="6"/>
      <c r="B72" s="1"/>
      <c r="C72" s="18"/>
      <c r="D72" s="12"/>
      <c r="E72" s="18"/>
      <c r="F72" s="12"/>
      <c r="G72" s="12"/>
      <c r="H72" s="12"/>
      <c r="I72" s="12"/>
      <c r="J72" s="12"/>
      <c r="K72" s="12"/>
      <c r="L72" s="12"/>
      <c r="M72" s="32"/>
      <c r="N72" s="22"/>
      <c r="O72" s="33"/>
      <c r="P72" s="23"/>
      <c r="Q72" s="23"/>
      <c r="R72" s="13"/>
    </row>
    <row r="73" spans="1:18" ht="17.399999999999999" customHeight="1" x14ac:dyDescent="0.3">
      <c r="A73" s="6"/>
      <c r="B73" s="1"/>
      <c r="C73" s="12"/>
      <c r="D73" s="12"/>
      <c r="E73" s="18"/>
      <c r="F73" s="12"/>
      <c r="G73" s="12"/>
      <c r="H73" s="12"/>
      <c r="I73" s="12"/>
      <c r="J73" s="12"/>
      <c r="K73" s="36"/>
      <c r="L73" s="12"/>
      <c r="M73" s="32"/>
      <c r="N73" s="22"/>
      <c r="O73" s="33"/>
      <c r="P73" s="23"/>
      <c r="Q73" s="23"/>
      <c r="R73" s="13"/>
    </row>
    <row r="74" spans="1:18" ht="17.399999999999999" customHeight="1" x14ac:dyDescent="0.3">
      <c r="A74" s="6"/>
      <c r="B74" s="2"/>
      <c r="C74" s="51" t="s">
        <v>44</v>
      </c>
      <c r="D74" s="51"/>
      <c r="E74" s="50"/>
      <c r="F74" s="36"/>
      <c r="G74" s="36"/>
      <c r="H74" s="36"/>
      <c r="I74" s="36"/>
      <c r="J74" s="36"/>
      <c r="K74" s="36"/>
      <c r="L74" s="12"/>
      <c r="M74" s="32"/>
      <c r="N74" s="22"/>
      <c r="O74" s="33"/>
      <c r="P74" s="23"/>
      <c r="Q74" s="23"/>
      <c r="R74" s="13"/>
    </row>
    <row r="75" spans="1:18" ht="17.399999999999999" customHeight="1" x14ac:dyDescent="0.3">
      <c r="A75" s="6"/>
      <c r="B75" s="13"/>
      <c r="C75" s="40" t="s">
        <v>92</v>
      </c>
      <c r="D75" s="41" t="s">
        <v>53</v>
      </c>
      <c r="E75" s="42"/>
      <c r="G75" s="36"/>
      <c r="H75" s="36"/>
      <c r="I75" s="36"/>
      <c r="J75" s="36"/>
      <c r="K75" s="36"/>
      <c r="L75" s="12"/>
      <c r="M75" s="32"/>
      <c r="N75" s="22"/>
      <c r="O75" s="33"/>
      <c r="P75" s="23"/>
      <c r="Q75" s="23"/>
      <c r="R75" s="13"/>
    </row>
    <row r="76" spans="1:18" ht="17.399999999999999" customHeight="1" x14ac:dyDescent="0.3">
      <c r="A76" s="6"/>
      <c r="B76" s="6"/>
      <c r="C76" s="40" t="s">
        <v>49</v>
      </c>
      <c r="D76" s="41" t="s">
        <v>49</v>
      </c>
      <c r="E76" s="42"/>
      <c r="G76" s="36"/>
      <c r="H76" s="36"/>
      <c r="I76" s="36"/>
      <c r="J76" s="36"/>
      <c r="K76" s="36"/>
      <c r="L76" s="12"/>
      <c r="M76" s="32"/>
      <c r="N76" s="22"/>
      <c r="O76" s="33"/>
      <c r="P76" s="23"/>
      <c r="Q76" s="23"/>
      <c r="R76" s="13"/>
    </row>
    <row r="77" spans="1:18" ht="17.399999999999999" customHeight="1" x14ac:dyDescent="0.3">
      <c r="A77" s="6"/>
      <c r="B77" s="6"/>
      <c r="C77" s="40" t="s">
        <v>74</v>
      </c>
      <c r="D77" s="41" t="s">
        <v>74</v>
      </c>
      <c r="E77" s="42"/>
      <c r="G77" s="36"/>
      <c r="H77" s="36"/>
      <c r="I77" s="36"/>
      <c r="J77" s="36"/>
      <c r="K77" s="36"/>
      <c r="L77" s="12"/>
      <c r="M77" s="32"/>
      <c r="N77" s="22"/>
      <c r="O77" s="33"/>
      <c r="P77" s="23"/>
      <c r="Q77" s="23"/>
      <c r="R77" s="13"/>
    </row>
    <row r="78" spans="1:18" ht="17.399999999999999" customHeight="1" x14ac:dyDescent="0.3">
      <c r="A78" s="6"/>
      <c r="B78" s="6"/>
      <c r="C78" s="40" t="s">
        <v>53</v>
      </c>
      <c r="D78" s="41" t="s">
        <v>53</v>
      </c>
      <c r="E78" s="42"/>
      <c r="G78" s="36"/>
      <c r="H78" s="36"/>
      <c r="I78" s="36"/>
      <c r="J78" s="36"/>
      <c r="K78" s="36"/>
      <c r="L78" s="12"/>
      <c r="M78" s="32"/>
      <c r="N78" s="22"/>
      <c r="O78" s="33"/>
      <c r="P78" s="23"/>
      <c r="Q78" s="23"/>
      <c r="R78" s="13"/>
    </row>
    <row r="79" spans="1:18" ht="17.399999999999999" customHeight="1" x14ac:dyDescent="0.3">
      <c r="A79" s="6"/>
      <c r="B79" s="6"/>
      <c r="C79" s="40" t="s">
        <v>75</v>
      </c>
      <c r="D79" s="41" t="s">
        <v>95</v>
      </c>
      <c r="E79" s="42"/>
      <c r="G79" s="36"/>
      <c r="H79" s="36"/>
      <c r="I79" s="36"/>
      <c r="J79" s="36"/>
      <c r="K79" s="36"/>
      <c r="L79" s="12"/>
      <c r="M79" s="32"/>
      <c r="N79" s="22"/>
      <c r="O79" s="33"/>
      <c r="P79" s="23"/>
      <c r="Q79" s="23"/>
      <c r="R79" s="13"/>
    </row>
    <row r="80" spans="1:18" ht="17.399999999999999" customHeight="1" x14ac:dyDescent="0.3">
      <c r="A80" s="6"/>
      <c r="B80" s="6"/>
      <c r="C80" s="40" t="s">
        <v>96</v>
      </c>
      <c r="D80" s="41" t="s">
        <v>95</v>
      </c>
      <c r="E80" s="42"/>
      <c r="G80" s="36"/>
      <c r="H80" s="36"/>
      <c r="I80" s="36"/>
      <c r="J80" s="36"/>
      <c r="K80" s="12"/>
      <c r="L80" s="12"/>
      <c r="M80" s="32"/>
      <c r="N80" s="22"/>
      <c r="O80" s="33"/>
      <c r="P80" s="23"/>
      <c r="Q80" s="23"/>
      <c r="R80" s="13"/>
    </row>
    <row r="81" spans="1:18" ht="17.399999999999999" customHeight="1" x14ac:dyDescent="0.3">
      <c r="A81" s="6"/>
      <c r="B81" s="6"/>
      <c r="C81" s="40" t="s">
        <v>97</v>
      </c>
      <c r="D81" s="41" t="s">
        <v>53</v>
      </c>
      <c r="E81" s="42"/>
      <c r="G81" s="36"/>
      <c r="H81" s="36"/>
      <c r="I81" s="36"/>
      <c r="J81" s="36"/>
      <c r="K81" s="12"/>
      <c r="L81" s="12"/>
      <c r="M81" s="32"/>
      <c r="N81" s="22"/>
      <c r="O81" s="33"/>
      <c r="P81" s="23"/>
      <c r="Q81" s="23"/>
      <c r="R81" s="13"/>
    </row>
    <row r="82" spans="1:18" ht="17.399999999999999" customHeight="1" x14ac:dyDescent="0.3">
      <c r="A82" s="6"/>
      <c r="B82" s="6"/>
      <c r="C82" s="12"/>
      <c r="D82" s="12"/>
      <c r="E82" s="18"/>
      <c r="F82" s="12"/>
      <c r="G82" s="12"/>
      <c r="H82" s="12"/>
      <c r="I82" s="12"/>
      <c r="J82" s="12"/>
      <c r="K82" s="12"/>
      <c r="L82" s="12"/>
      <c r="M82" s="32"/>
      <c r="N82" s="22"/>
      <c r="O82" s="33"/>
      <c r="P82" s="23"/>
      <c r="Q82" s="23"/>
      <c r="R82" s="13"/>
    </row>
    <row r="83" spans="1:18" ht="17.399999999999999" customHeight="1" x14ac:dyDescent="0.3">
      <c r="A83" s="6"/>
      <c r="B83" s="6"/>
      <c r="C83" s="12"/>
      <c r="D83" s="12"/>
      <c r="E83" s="18"/>
      <c r="F83" s="12"/>
      <c r="G83" s="12"/>
      <c r="H83" s="12"/>
      <c r="I83" s="12"/>
      <c r="J83" s="12"/>
      <c r="K83" s="43"/>
      <c r="L83" s="12"/>
      <c r="M83" s="32"/>
      <c r="N83" s="22"/>
      <c r="O83" s="33"/>
      <c r="P83" s="23"/>
      <c r="Q83" s="23"/>
      <c r="R83" s="13"/>
    </row>
    <row r="84" spans="1:18" ht="17.399999999999999" customHeight="1" x14ac:dyDescent="0.3">
      <c r="A84" s="44"/>
      <c r="B84" s="6"/>
      <c r="C84" s="12"/>
      <c r="D84" s="12"/>
      <c r="E84" s="18"/>
      <c r="F84" s="12"/>
      <c r="G84" s="12"/>
      <c r="H84" s="12"/>
      <c r="I84" s="12"/>
      <c r="J84" s="12"/>
      <c r="K84" s="30"/>
      <c r="L84" s="12"/>
      <c r="M84" s="13"/>
      <c r="N84" s="14"/>
      <c r="O84" s="13"/>
      <c r="P84" s="14"/>
      <c r="Q84" s="14"/>
      <c r="R84" s="13"/>
    </row>
    <row r="85" spans="1:18" ht="17.399999999999999" customHeight="1" x14ac:dyDescent="0.3">
      <c r="A85" s="45"/>
      <c r="B85" s="6"/>
      <c r="C85" s="9" t="s">
        <v>24</v>
      </c>
      <c r="D85" s="9"/>
      <c r="E85" s="37"/>
      <c r="F85" s="12"/>
      <c r="G85" s="12"/>
      <c r="H85" s="12"/>
      <c r="I85" s="12"/>
      <c r="J85" s="12"/>
      <c r="K85" s="30"/>
      <c r="L85" s="12"/>
      <c r="M85" s="13"/>
      <c r="N85" s="14"/>
      <c r="O85" s="13"/>
      <c r="P85" s="14"/>
      <c r="Q85" s="14"/>
      <c r="R85" s="13"/>
    </row>
    <row r="86" spans="1:18" ht="17.399999999999999" customHeight="1" x14ac:dyDescent="0.3">
      <c r="A86" s="45"/>
      <c r="B86" s="6"/>
      <c r="C86" s="18" t="s">
        <v>136</v>
      </c>
      <c r="D86" s="18"/>
      <c r="E86" s="18"/>
      <c r="F86" s="43"/>
      <c r="G86" s="30"/>
      <c r="H86" s="30"/>
      <c r="I86" s="30"/>
      <c r="J86" s="30"/>
      <c r="K86" s="30"/>
      <c r="L86" s="12"/>
      <c r="M86" s="13"/>
      <c r="N86" s="14"/>
      <c r="O86" s="13"/>
      <c r="P86" s="14"/>
      <c r="Q86" s="14"/>
      <c r="R86" s="13"/>
    </row>
    <row r="87" spans="1:18" ht="17.399999999999999" customHeight="1" x14ac:dyDescent="0.3">
      <c r="A87" s="45"/>
      <c r="B87" s="6"/>
      <c r="C87" s="18" t="s">
        <v>52</v>
      </c>
      <c r="D87" s="18"/>
      <c r="E87" s="18"/>
      <c r="F87" s="43"/>
      <c r="G87" s="30"/>
      <c r="H87" s="30"/>
      <c r="I87" s="30"/>
      <c r="J87" s="30"/>
      <c r="K87" s="12"/>
      <c r="L87" s="12"/>
      <c r="M87" s="13"/>
      <c r="N87" s="14"/>
      <c r="O87" s="13"/>
      <c r="P87" s="14"/>
      <c r="Q87" s="14"/>
      <c r="R87" s="13"/>
    </row>
    <row r="88" spans="1:18" ht="17.399999999999999" customHeight="1" x14ac:dyDescent="0.3">
      <c r="A88" s="6"/>
      <c r="B88" s="6"/>
      <c r="C88" s="18"/>
      <c r="D88" s="18"/>
      <c r="E88" s="18"/>
      <c r="F88" s="43"/>
      <c r="G88" s="30"/>
      <c r="H88" s="30"/>
      <c r="I88" s="30"/>
      <c r="J88" s="30"/>
      <c r="K88" s="12"/>
      <c r="L88" s="12"/>
      <c r="M88" s="13"/>
      <c r="N88" s="14"/>
      <c r="O88" s="13"/>
      <c r="P88" s="14"/>
      <c r="Q88" s="14"/>
      <c r="R88" s="13"/>
    </row>
    <row r="89" spans="1:18" ht="17.399999999999999" customHeight="1" x14ac:dyDescent="0.3">
      <c r="A89" s="6"/>
      <c r="B89" s="6"/>
      <c r="C89" s="9" t="s">
        <v>47</v>
      </c>
      <c r="D89" s="12"/>
      <c r="E89" s="18"/>
      <c r="F89" s="36"/>
      <c r="G89" s="36"/>
      <c r="H89" s="36"/>
      <c r="I89" s="36"/>
      <c r="J89" s="36"/>
      <c r="K89" s="12"/>
      <c r="L89" s="12"/>
      <c r="M89" s="13"/>
      <c r="N89" s="14"/>
      <c r="O89" s="13"/>
      <c r="P89" s="14"/>
      <c r="Q89" s="14"/>
      <c r="R89" s="13"/>
    </row>
    <row r="90" spans="1:18" ht="17.399999999999999" customHeight="1" x14ac:dyDescent="0.3">
      <c r="A90" s="6"/>
      <c r="B90" s="6"/>
      <c r="C90" s="12" t="s">
        <v>132</v>
      </c>
      <c r="D90" s="12" t="s">
        <v>49</v>
      </c>
      <c r="E90" s="18"/>
      <c r="F90" s="36"/>
      <c r="G90" s="36"/>
      <c r="H90" s="36"/>
      <c r="I90" s="36"/>
      <c r="J90" s="36"/>
      <c r="K90" s="12"/>
      <c r="L90" s="12"/>
      <c r="M90" s="13"/>
      <c r="N90" s="14"/>
      <c r="O90" s="13"/>
      <c r="P90" s="14"/>
      <c r="Q90" s="14"/>
      <c r="R90" s="13"/>
    </row>
    <row r="91" spans="1:18" ht="17.399999999999999" customHeight="1" x14ac:dyDescent="0.3">
      <c r="A91" s="6"/>
      <c r="B91" s="6"/>
      <c r="C91" s="12" t="s">
        <v>133</v>
      </c>
      <c r="D91" s="12" t="s">
        <v>53</v>
      </c>
      <c r="E91" s="18"/>
      <c r="F91" s="36"/>
      <c r="G91" s="36"/>
      <c r="H91" s="36"/>
      <c r="I91" s="36"/>
      <c r="J91" s="36"/>
      <c r="K91" s="12"/>
      <c r="L91" s="12"/>
      <c r="M91" s="13"/>
      <c r="N91" s="14"/>
      <c r="O91" s="13"/>
      <c r="P91" s="14"/>
      <c r="Q91" s="14"/>
      <c r="R91" s="13"/>
    </row>
    <row r="92" spans="1:18" ht="17.399999999999999" customHeight="1" x14ac:dyDescent="0.3">
      <c r="A92" s="6"/>
      <c r="B92" s="6"/>
      <c r="C92" s="12" t="s">
        <v>134</v>
      </c>
      <c r="D92" s="12" t="s">
        <v>74</v>
      </c>
      <c r="E92" s="18"/>
      <c r="F92" s="36"/>
      <c r="G92" s="36"/>
      <c r="H92" s="36"/>
      <c r="I92" s="36"/>
      <c r="J92" s="36"/>
      <c r="K92" s="12"/>
      <c r="L92" s="12"/>
      <c r="M92" s="13"/>
      <c r="N92" s="14"/>
      <c r="O92" s="13"/>
      <c r="P92" s="14"/>
      <c r="Q92" s="14"/>
      <c r="R92" s="13"/>
    </row>
    <row r="93" spans="1:18" ht="17.399999999999999" customHeight="1" x14ac:dyDescent="0.3">
      <c r="A93" s="6"/>
      <c r="B93" s="6"/>
      <c r="C93" s="12" t="s">
        <v>76</v>
      </c>
      <c r="D93" s="12" t="s">
        <v>49</v>
      </c>
      <c r="E93" s="18"/>
      <c r="F93" s="36"/>
      <c r="G93" s="36"/>
      <c r="H93" s="36"/>
      <c r="I93" s="36"/>
      <c r="J93" s="36"/>
      <c r="K93" s="12"/>
      <c r="L93" s="12"/>
      <c r="M93" s="13"/>
      <c r="N93" s="14"/>
      <c r="O93" s="13"/>
      <c r="P93" s="14"/>
      <c r="Q93" s="14"/>
      <c r="R93" s="13"/>
    </row>
    <row r="94" spans="1:18" ht="17.399999999999999" customHeight="1" x14ac:dyDescent="0.3">
      <c r="A94" s="6"/>
      <c r="B94" s="6"/>
      <c r="C94" s="12" t="s">
        <v>135</v>
      </c>
      <c r="D94" s="12" t="s">
        <v>53</v>
      </c>
      <c r="E94" s="18"/>
      <c r="F94" s="36"/>
      <c r="G94" s="36"/>
      <c r="H94" s="36"/>
      <c r="I94" s="36"/>
      <c r="J94" s="36"/>
      <c r="K94" s="12"/>
      <c r="L94" s="12"/>
      <c r="M94" s="13"/>
      <c r="N94" s="14"/>
      <c r="O94" s="13"/>
      <c r="P94" s="14"/>
      <c r="Q94" s="14"/>
      <c r="R94" s="13"/>
    </row>
    <row r="95" spans="1:18" ht="17.399999999999999" customHeight="1" x14ac:dyDescent="0.3">
      <c r="A95" s="6"/>
      <c r="B95" s="6"/>
      <c r="D95" s="9"/>
      <c r="E95" s="37"/>
      <c r="F95" s="12"/>
      <c r="G95" s="9"/>
      <c r="H95" s="12"/>
      <c r="I95" s="12"/>
      <c r="J95" s="12"/>
      <c r="K95" s="12"/>
      <c r="L95" s="12"/>
      <c r="M95" s="13"/>
      <c r="N95" s="14"/>
      <c r="O95" s="13"/>
      <c r="P95" s="14"/>
      <c r="Q95" s="14"/>
      <c r="R95" s="13"/>
    </row>
    <row r="96" spans="1:18" ht="17.399999999999999" customHeight="1" x14ac:dyDescent="0.3">
      <c r="A96" s="6"/>
      <c r="B96" s="6"/>
      <c r="C96" s="12"/>
      <c r="D96" s="12"/>
      <c r="E96" s="18"/>
      <c r="F96" s="12"/>
      <c r="G96" s="12"/>
      <c r="H96" s="12"/>
      <c r="I96" s="12"/>
      <c r="J96" s="12"/>
      <c r="K96" s="12"/>
      <c r="L96" s="12"/>
      <c r="M96" s="13"/>
      <c r="N96" s="14"/>
      <c r="O96" s="13"/>
      <c r="P96" s="14"/>
      <c r="Q96" s="14"/>
      <c r="R96" s="13"/>
    </row>
    <row r="97" spans="1:18" ht="17.399999999999999" customHeight="1" x14ac:dyDescent="0.3">
      <c r="A97" s="6"/>
      <c r="B97" s="6"/>
      <c r="C97" s="12"/>
      <c r="D97" s="12"/>
      <c r="E97" s="18"/>
      <c r="F97" s="12"/>
      <c r="G97" s="12"/>
      <c r="H97" s="12"/>
      <c r="I97" s="12"/>
      <c r="J97" s="12"/>
      <c r="K97" s="12"/>
      <c r="L97" s="12"/>
      <c r="M97" s="13"/>
      <c r="N97" s="14"/>
      <c r="O97" s="13"/>
      <c r="P97" s="14"/>
      <c r="Q97" s="14"/>
      <c r="R97" s="13"/>
    </row>
    <row r="98" spans="1:18" ht="17.399999999999999" customHeight="1" x14ac:dyDescent="0.3">
      <c r="A98" s="6"/>
      <c r="B98" s="6"/>
      <c r="C98" s="10" t="s">
        <v>102</v>
      </c>
      <c r="D98" s="34"/>
      <c r="E98" s="37"/>
      <c r="F98" s="12"/>
      <c r="G98" s="12"/>
      <c r="H98" s="12"/>
      <c r="I98" s="12"/>
      <c r="J98" s="12"/>
      <c r="K98" s="12"/>
      <c r="L98" s="12"/>
      <c r="M98" s="13"/>
      <c r="N98" s="14"/>
      <c r="O98" s="13"/>
      <c r="P98" s="14"/>
      <c r="Q98" s="14"/>
      <c r="R98" s="13"/>
    </row>
    <row r="99" spans="1:18" ht="17.399999999999999" customHeight="1" x14ac:dyDescent="0.3">
      <c r="A99" s="6"/>
      <c r="B99" s="6"/>
      <c r="C99" s="17" t="s">
        <v>50</v>
      </c>
      <c r="D99" s="16" t="s">
        <v>49</v>
      </c>
      <c r="E99" s="18"/>
      <c r="G99" s="12"/>
      <c r="H99" s="12"/>
      <c r="I99" s="12"/>
      <c r="J99" s="12"/>
      <c r="K99" s="12"/>
      <c r="L99" s="12"/>
      <c r="M99" s="13"/>
      <c r="N99" s="14"/>
      <c r="O99" s="13"/>
      <c r="P99" s="14"/>
      <c r="Q99" s="14"/>
      <c r="R99" s="13"/>
    </row>
    <row r="100" spans="1:18" ht="17.399999999999999" customHeight="1" x14ac:dyDescent="0.3">
      <c r="A100" s="6"/>
      <c r="B100" s="6"/>
      <c r="C100" s="17" t="s">
        <v>77</v>
      </c>
      <c r="D100" s="16" t="s">
        <v>95</v>
      </c>
      <c r="E100" s="18"/>
      <c r="G100" s="12"/>
      <c r="H100" s="12"/>
      <c r="I100" s="12"/>
      <c r="J100" s="12"/>
      <c r="K100" s="12"/>
      <c r="L100" s="12"/>
      <c r="M100" s="13"/>
      <c r="N100" s="14"/>
      <c r="O100" s="13"/>
      <c r="P100" s="14"/>
      <c r="Q100" s="14"/>
      <c r="R100" s="13"/>
    </row>
    <row r="101" spans="1:18" ht="17.399999999999999" customHeight="1" x14ac:dyDescent="0.3">
      <c r="A101" s="6"/>
      <c r="B101" s="6"/>
      <c r="C101" s="18"/>
      <c r="D101" s="12"/>
      <c r="E101" s="18"/>
      <c r="F101" s="15">
        <f t="shared" ref="F101:F108" si="0">+F102+0.1</f>
        <v>1.8000000000000007</v>
      </c>
      <c r="G101" s="12"/>
      <c r="H101" s="12"/>
      <c r="I101" s="12"/>
      <c r="J101" s="12"/>
      <c r="K101" s="12"/>
      <c r="L101" s="12"/>
      <c r="M101" s="13"/>
      <c r="N101" s="14"/>
      <c r="O101" s="13"/>
      <c r="P101" s="14"/>
      <c r="Q101" s="14"/>
      <c r="R101" s="13"/>
    </row>
    <row r="102" spans="1:18" ht="17.399999999999999" customHeight="1" x14ac:dyDescent="0.3">
      <c r="A102" s="6"/>
      <c r="B102" s="6"/>
      <c r="C102" s="18"/>
      <c r="D102" s="12"/>
      <c r="E102" s="18"/>
      <c r="F102" s="15">
        <f t="shared" si="0"/>
        <v>1.7000000000000006</v>
      </c>
      <c r="G102" s="12"/>
      <c r="H102" s="12"/>
      <c r="I102" s="12"/>
      <c r="J102" s="12"/>
      <c r="K102" s="12"/>
      <c r="L102" s="12"/>
      <c r="M102" s="13"/>
      <c r="N102" s="14"/>
      <c r="O102" s="13"/>
      <c r="P102" s="14"/>
      <c r="Q102" s="14"/>
      <c r="R102" s="13"/>
    </row>
    <row r="103" spans="1:18" ht="17.399999999999999" customHeight="1" x14ac:dyDescent="0.3">
      <c r="F103" s="15">
        <f t="shared" si="0"/>
        <v>1.6000000000000005</v>
      </c>
    </row>
    <row r="104" spans="1:18" ht="17.399999999999999" customHeight="1" x14ac:dyDescent="0.3">
      <c r="F104" s="15">
        <f t="shared" si="0"/>
        <v>1.5000000000000004</v>
      </c>
      <c r="G104" s="15" t="s">
        <v>49</v>
      </c>
    </row>
    <row r="105" spans="1:18" ht="17.399999999999999" customHeight="1" x14ac:dyDescent="0.3">
      <c r="F105" s="15">
        <f t="shared" si="0"/>
        <v>1.4000000000000004</v>
      </c>
      <c r="G105" s="15" t="s">
        <v>49</v>
      </c>
    </row>
    <row r="106" spans="1:18" ht="17.399999999999999" customHeight="1" x14ac:dyDescent="0.3">
      <c r="F106" s="15">
        <f t="shared" si="0"/>
        <v>1.3000000000000003</v>
      </c>
      <c r="G106" s="15" t="s">
        <v>49</v>
      </c>
    </row>
    <row r="107" spans="1:18" ht="17.399999999999999" customHeight="1" x14ac:dyDescent="0.3">
      <c r="F107" s="15">
        <f t="shared" si="0"/>
        <v>1.2000000000000002</v>
      </c>
      <c r="G107" s="15" t="s">
        <v>49</v>
      </c>
    </row>
    <row r="108" spans="1:18" ht="17.399999999999999" customHeight="1" x14ac:dyDescent="0.3">
      <c r="F108" s="15">
        <f t="shared" si="0"/>
        <v>1.1000000000000001</v>
      </c>
      <c r="G108" s="15" t="s">
        <v>74</v>
      </c>
    </row>
    <row r="109" spans="1:18" ht="17.399999999999999" customHeight="1" x14ac:dyDescent="0.3">
      <c r="F109" s="15">
        <v>1</v>
      </c>
      <c r="G109" s="15" t="s">
        <v>74</v>
      </c>
    </row>
    <row r="110" spans="1:18" ht="17.399999999999999" customHeight="1" x14ac:dyDescent="0.3">
      <c r="F110" s="15">
        <f t="shared" ref="F110:F123" si="1">+F109-0.1</f>
        <v>0.9</v>
      </c>
      <c r="G110" s="15" t="s">
        <v>74</v>
      </c>
    </row>
    <row r="111" spans="1:18" ht="17.399999999999999" customHeight="1" x14ac:dyDescent="0.3">
      <c r="F111" s="15">
        <f t="shared" si="1"/>
        <v>0.8</v>
      </c>
      <c r="G111" s="15" t="s">
        <v>74</v>
      </c>
    </row>
    <row r="112" spans="1:18" ht="17.399999999999999" customHeight="1" x14ac:dyDescent="0.3">
      <c r="F112" s="15">
        <f t="shared" si="1"/>
        <v>0.70000000000000007</v>
      </c>
      <c r="G112" s="15" t="s">
        <v>74</v>
      </c>
    </row>
    <row r="113" spans="6:7" ht="17.399999999999999" customHeight="1" x14ac:dyDescent="0.3">
      <c r="F113" s="15">
        <f t="shared" si="1"/>
        <v>0.60000000000000009</v>
      </c>
      <c r="G113" s="15" t="s">
        <v>53</v>
      </c>
    </row>
    <row r="114" spans="6:7" ht="17.399999999999999" customHeight="1" x14ac:dyDescent="0.3">
      <c r="F114" s="15">
        <f t="shared" si="1"/>
        <v>0.50000000000000011</v>
      </c>
      <c r="G114" s="15" t="s">
        <v>53</v>
      </c>
    </row>
    <row r="115" spans="6:7" ht="17.399999999999999" customHeight="1" x14ac:dyDescent="0.3">
      <c r="F115" s="15">
        <f t="shared" si="1"/>
        <v>0.40000000000000013</v>
      </c>
      <c r="G115" s="15" t="s">
        <v>53</v>
      </c>
    </row>
    <row r="116" spans="6:7" ht="17.399999999999999" customHeight="1" x14ac:dyDescent="0.3">
      <c r="F116" s="15">
        <f t="shared" si="1"/>
        <v>0.30000000000000016</v>
      </c>
      <c r="G116" s="15" t="s">
        <v>53</v>
      </c>
    </row>
    <row r="117" spans="6:7" ht="17.399999999999999" customHeight="1" x14ac:dyDescent="0.3">
      <c r="F117" s="15">
        <f t="shared" si="1"/>
        <v>0.20000000000000015</v>
      </c>
      <c r="G117" s="15" t="s">
        <v>201</v>
      </c>
    </row>
    <row r="118" spans="6:7" ht="17.399999999999999" customHeight="1" x14ac:dyDescent="0.3">
      <c r="F118" s="15">
        <f t="shared" si="1"/>
        <v>0.10000000000000014</v>
      </c>
      <c r="G118" s="15" t="s">
        <v>201</v>
      </c>
    </row>
    <row r="119" spans="6:7" ht="17.399999999999999" customHeight="1" x14ac:dyDescent="0.3">
      <c r="F119" s="15">
        <f t="shared" si="1"/>
        <v>1.3877787807814457E-16</v>
      </c>
      <c r="G119" s="15" t="s">
        <v>201</v>
      </c>
    </row>
    <row r="120" spans="6:7" ht="17.399999999999999" customHeight="1" x14ac:dyDescent="0.3">
      <c r="F120" s="15">
        <f t="shared" si="1"/>
        <v>-9.9999999999999867E-2</v>
      </c>
      <c r="G120" s="15" t="s">
        <v>201</v>
      </c>
    </row>
    <row r="121" spans="6:7" ht="17.399999999999999" customHeight="1" x14ac:dyDescent="0.3">
      <c r="F121" s="15">
        <f t="shared" si="1"/>
        <v>-0.19999999999999987</v>
      </c>
      <c r="G121" s="15" t="s">
        <v>201</v>
      </c>
    </row>
    <row r="122" spans="6:7" ht="17.399999999999999" customHeight="1" x14ac:dyDescent="0.3">
      <c r="F122" s="15">
        <f t="shared" si="1"/>
        <v>-0.29999999999999988</v>
      </c>
      <c r="G122" s="15" t="s">
        <v>201</v>
      </c>
    </row>
    <row r="123" spans="6:7" ht="17.399999999999999" customHeight="1" x14ac:dyDescent="0.3">
      <c r="F123" s="15">
        <f t="shared" si="1"/>
        <v>-0.39999999999999991</v>
      </c>
      <c r="G123" s="15" t="s">
        <v>201</v>
      </c>
    </row>
  </sheetData>
  <mergeCells count="6">
    <mergeCell ref="I1:J1"/>
    <mergeCell ref="Q3:Q4"/>
    <mergeCell ref="M3:M4"/>
    <mergeCell ref="N3:N4"/>
    <mergeCell ref="O3:O4"/>
    <mergeCell ref="P3:P4"/>
  </mergeCells>
  <dataValidations count="2">
    <dataValidation type="list" allowBlank="1" showInputMessage="1" showErrorMessage="1" sqref="A66">
      <formula1>$P$86:$P$88</formula1>
    </dataValidation>
    <dataValidation type="list" allowBlank="1" showInputMessage="1" showErrorMessage="1" sqref="A18 B19">
      <formula1>$X$4:$X$95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6"/>
  <sheetViews>
    <sheetView topLeftCell="A44" zoomScale="110" zoomScaleNormal="110" workbookViewId="0">
      <selection activeCell="A61" sqref="A61:G80"/>
    </sheetView>
  </sheetViews>
  <sheetFormatPr baseColWidth="10" defaultColWidth="11.5546875" defaultRowHeight="12" x14ac:dyDescent="0.25"/>
  <cols>
    <col min="1" max="1" width="35.5546875" style="96" customWidth="1"/>
    <col min="2" max="2" width="12.109375" style="145" customWidth="1"/>
    <col min="3" max="3" width="12.88671875" style="96" customWidth="1"/>
    <col min="4" max="4" width="14.6640625" style="96" bestFit="1" customWidth="1"/>
    <col min="5" max="5" width="10.33203125" style="96" customWidth="1"/>
    <col min="6" max="6" width="15.33203125" style="96" bestFit="1" customWidth="1"/>
    <col min="7" max="7" width="14.6640625" style="96" customWidth="1"/>
    <col min="8" max="8" width="9.33203125" style="96" customWidth="1"/>
    <col min="9" max="9" width="11.44140625" style="96" customWidth="1"/>
    <col min="10" max="10" width="14.6640625" style="96" bestFit="1" customWidth="1"/>
    <col min="11" max="11" width="11.88671875" style="96" hidden="1" customWidth="1"/>
    <col min="12" max="12" width="2.88671875" style="100" hidden="1" customWidth="1"/>
    <col min="13" max="13" width="3.33203125" style="100" hidden="1" customWidth="1"/>
    <col min="14" max="14" width="9.33203125" style="100" hidden="1" customWidth="1"/>
    <col min="15" max="15" width="11.44140625" style="140" customWidth="1"/>
    <col min="16" max="16" width="12.88671875" style="251" customWidth="1"/>
    <col min="17" max="17" width="5.109375" style="96" customWidth="1"/>
    <col min="18" max="18" width="14.88671875" style="96" customWidth="1"/>
    <col min="19" max="16384" width="11.5546875" style="96"/>
  </cols>
  <sheetData>
    <row r="1" spans="1:16" ht="12.6" thickBot="1" x14ac:dyDescent="0.3">
      <c r="B1" s="97"/>
      <c r="C1" s="98" t="s">
        <v>139</v>
      </c>
      <c r="D1" s="99"/>
      <c r="E1" s="98" t="s">
        <v>139</v>
      </c>
      <c r="G1" s="98" t="s">
        <v>139</v>
      </c>
      <c r="O1" s="96"/>
    </row>
    <row r="2" spans="1:16" ht="18.600000000000001" customHeight="1" x14ac:dyDescent="0.3">
      <c r="A2" s="283" t="s">
        <v>141</v>
      </c>
      <c r="B2" s="284"/>
      <c r="C2" s="284"/>
      <c r="D2" s="284"/>
      <c r="E2" s="284"/>
      <c r="F2" s="284"/>
      <c r="G2" s="285"/>
      <c r="I2" s="278" t="s">
        <v>140</v>
      </c>
      <c r="J2" s="278"/>
      <c r="O2" s="96"/>
    </row>
    <row r="3" spans="1:16" ht="18.600000000000001" customHeight="1" x14ac:dyDescent="0.25">
      <c r="A3" s="153"/>
      <c r="B3" s="286">
        <v>2011</v>
      </c>
      <c r="C3" s="287"/>
      <c r="D3" s="286">
        <f>+B3+1</f>
        <v>2012</v>
      </c>
      <c r="E3" s="287"/>
      <c r="F3" s="286">
        <f>+D3+1</f>
        <v>2013</v>
      </c>
      <c r="G3" s="288"/>
      <c r="I3" s="191" t="s">
        <v>199</v>
      </c>
      <c r="J3" s="191" t="s">
        <v>200</v>
      </c>
      <c r="L3" s="101" t="s">
        <v>142</v>
      </c>
      <c r="M3" s="102"/>
      <c r="N3" s="101" t="s">
        <v>143</v>
      </c>
      <c r="O3" s="255" t="s">
        <v>280</v>
      </c>
    </row>
    <row r="4" spans="1:16" s="111" customFormat="1" x14ac:dyDescent="0.25">
      <c r="A4" s="154" t="s">
        <v>23</v>
      </c>
      <c r="B4" s="103">
        <v>606811.36</v>
      </c>
      <c r="C4" s="104">
        <f>+B4/B4</f>
        <v>1</v>
      </c>
      <c r="D4" s="105">
        <v>585707.27</v>
      </c>
      <c r="E4" s="104">
        <f>+D4/D4</f>
        <v>1</v>
      </c>
      <c r="F4" s="106">
        <v>623236.51</v>
      </c>
      <c r="G4" s="155">
        <f>+F4/F4</f>
        <v>1</v>
      </c>
      <c r="H4" s="107"/>
      <c r="I4" s="108">
        <f>(+D4/B4)-1</f>
        <v>-3.477866663537732E-2</v>
      </c>
      <c r="J4" s="108">
        <f>(+F4/D4)-1</f>
        <v>6.4075079689552172E-2</v>
      </c>
      <c r="K4" s="107"/>
      <c r="L4" s="109">
        <f>AVERAGE(I4:K4)</f>
        <v>1.4648206527087426E-2</v>
      </c>
      <c r="M4" s="110"/>
      <c r="N4" s="110"/>
      <c r="O4" s="257">
        <f>AVERAGE(I4:J4)</f>
        <v>1.4648206527087426E-2</v>
      </c>
      <c r="P4" s="252">
        <f>+F4/12</f>
        <v>51936.375833333332</v>
      </c>
    </row>
    <row r="5" spans="1:16" s="107" customFormat="1" x14ac:dyDescent="0.25">
      <c r="A5" s="156" t="s">
        <v>144</v>
      </c>
      <c r="B5" s="112">
        <v>397406.89</v>
      </c>
      <c r="C5" s="113">
        <f>+B5/B4</f>
        <v>0.65491010253993931</v>
      </c>
      <c r="D5" s="114">
        <v>353475.93</v>
      </c>
      <c r="E5" s="113">
        <f>+D5/D4</f>
        <v>0.60350271902891006</v>
      </c>
      <c r="F5" s="115">
        <v>406138.48</v>
      </c>
      <c r="G5" s="157">
        <f>+F5/F4</f>
        <v>0.65166028222576367</v>
      </c>
      <c r="I5" s="108">
        <f>(+D5/B5)-1</f>
        <v>-0.11054403208761687</v>
      </c>
      <c r="J5" s="108">
        <f>(+F5/D5)-1</f>
        <v>0.1489848262086757</v>
      </c>
      <c r="L5" s="109">
        <f>AVERAGE(I5:K5)</f>
        <v>1.9220397060529415E-2</v>
      </c>
      <c r="M5" s="100"/>
      <c r="N5" s="116">
        <f t="shared" ref="N5:N16" si="0">AVERAGE(C5,E5,G5)</f>
        <v>0.63669103459820431</v>
      </c>
      <c r="O5" s="257">
        <f t="shared" ref="O5:O16" si="1">AVERAGE(I5:J5)</f>
        <v>1.9220397060529415E-2</v>
      </c>
      <c r="P5" s="252">
        <f t="shared" ref="P5:P15" si="2">+F5/12</f>
        <v>33844.873333333329</v>
      </c>
    </row>
    <row r="6" spans="1:16" s="107" customFormat="1" x14ac:dyDescent="0.25">
      <c r="A6" s="154" t="s">
        <v>145</v>
      </c>
      <c r="B6" s="117">
        <f>+B4-B5</f>
        <v>209404.46999999997</v>
      </c>
      <c r="C6" s="104">
        <f>+B6/B4</f>
        <v>0.34508989746006069</v>
      </c>
      <c r="D6" s="118">
        <f>+D4-D5</f>
        <v>232231.34000000003</v>
      </c>
      <c r="E6" s="104">
        <f>+D6/D4</f>
        <v>0.39649728097108988</v>
      </c>
      <c r="F6" s="118">
        <f>+F4-F5</f>
        <v>217098.03000000003</v>
      </c>
      <c r="G6" s="155">
        <f>+F6/F4</f>
        <v>0.34833971777423633</v>
      </c>
      <c r="I6" s="108">
        <f>(+D6/B6)-1</f>
        <v>0.1090085135240908</v>
      </c>
      <c r="J6" s="108">
        <f>(+F6/D6)-1</f>
        <v>-6.5164805060333397E-2</v>
      </c>
      <c r="L6" s="109">
        <f>AVERAGE(I6:K6)</f>
        <v>2.1921854231878701E-2</v>
      </c>
      <c r="M6" s="100"/>
      <c r="N6" s="116">
        <f t="shared" si="0"/>
        <v>0.36330896540179564</v>
      </c>
      <c r="O6" s="257">
        <f t="shared" si="1"/>
        <v>2.1921854231878701E-2</v>
      </c>
      <c r="P6" s="252">
        <f t="shared" si="2"/>
        <v>18091.502500000002</v>
      </c>
    </row>
    <row r="7" spans="1:16" s="107" customFormat="1" x14ac:dyDescent="0.25">
      <c r="A7" s="154"/>
      <c r="B7" s="103"/>
      <c r="C7" s="104"/>
      <c r="D7" s="105"/>
      <c r="E7" s="104"/>
      <c r="F7" s="106"/>
      <c r="G7" s="155"/>
      <c r="I7" s="108"/>
      <c r="J7" s="108"/>
      <c r="L7" s="109"/>
      <c r="M7" s="100"/>
      <c r="N7" s="116" t="e">
        <f t="shared" si="0"/>
        <v>#DIV/0!</v>
      </c>
      <c r="O7" s="257" t="e">
        <f t="shared" si="1"/>
        <v>#DIV/0!</v>
      </c>
      <c r="P7" s="252"/>
    </row>
    <row r="8" spans="1:16" s="107" customFormat="1" x14ac:dyDescent="0.25">
      <c r="A8" s="156" t="s">
        <v>146</v>
      </c>
      <c r="B8" s="112">
        <f>185878.14-10894.73-50</f>
        <v>174933.41</v>
      </c>
      <c r="C8" s="119">
        <f>+B8/B4</f>
        <v>0.28828301764159459</v>
      </c>
      <c r="D8" s="114">
        <f>185089.71-D12-8319.11</f>
        <v>174677</v>
      </c>
      <c r="E8" s="119">
        <f>+D8/D4</f>
        <v>0.29823259663483431</v>
      </c>
      <c r="F8" s="120">
        <v>165309.47</v>
      </c>
      <c r="G8" s="158">
        <f>+F8/F4</f>
        <v>0.26524355898212704</v>
      </c>
      <c r="I8" s="108">
        <f>(+D8/B8)-1</f>
        <v>-1.4657577417601653E-3</v>
      </c>
      <c r="J8" s="108">
        <f>(+F8/D8)-1</f>
        <v>-5.3627724314019631E-2</v>
      </c>
      <c r="L8" s="109">
        <f t="shared" ref="L8:L16" si="3">AVERAGE(I8:K8)</f>
        <v>-2.7546741027889898E-2</v>
      </c>
      <c r="M8" s="100"/>
      <c r="N8" s="116">
        <f t="shared" si="0"/>
        <v>0.28391972441951868</v>
      </c>
      <c r="O8" s="257">
        <f t="shared" si="1"/>
        <v>-2.7546741027889898E-2</v>
      </c>
      <c r="P8" s="252">
        <f t="shared" si="2"/>
        <v>13775.789166666667</v>
      </c>
    </row>
    <row r="9" spans="1:16" s="107" customFormat="1" x14ac:dyDescent="0.25">
      <c r="A9" s="156" t="s">
        <v>147</v>
      </c>
      <c r="B9" s="112"/>
      <c r="C9" s="119">
        <f>+B9/B4</f>
        <v>0</v>
      </c>
      <c r="D9" s="114"/>
      <c r="E9" s="119">
        <f>+D9/D4</f>
        <v>0</v>
      </c>
      <c r="F9" s="120">
        <v>2402</v>
      </c>
      <c r="G9" s="158">
        <f>+F9/F4</f>
        <v>3.8540745952126585E-3</v>
      </c>
      <c r="I9" s="108" t="e">
        <f>(+D9/B9)-1</f>
        <v>#DIV/0!</v>
      </c>
      <c r="J9" s="108" t="e">
        <f t="shared" ref="J9:J14" si="4">(+F9/D9)-1</f>
        <v>#DIV/0!</v>
      </c>
      <c r="L9" s="109" t="e">
        <f t="shared" si="3"/>
        <v>#DIV/0!</v>
      </c>
      <c r="M9" s="100"/>
      <c r="N9" s="116">
        <f t="shared" si="0"/>
        <v>1.2846915317375528E-3</v>
      </c>
      <c r="O9" s="257" t="e">
        <f t="shared" si="1"/>
        <v>#DIV/0!</v>
      </c>
      <c r="P9" s="252">
        <f t="shared" si="2"/>
        <v>200.16666666666666</v>
      </c>
    </row>
    <row r="10" spans="1:16" s="107" customFormat="1" x14ac:dyDescent="0.25">
      <c r="A10" s="156" t="s">
        <v>148</v>
      </c>
      <c r="B10" s="112"/>
      <c r="C10" s="119">
        <f>+B10/B4</f>
        <v>0</v>
      </c>
      <c r="D10" s="114"/>
      <c r="E10" s="119">
        <f>+D10/D4</f>
        <v>0</v>
      </c>
      <c r="F10" s="120"/>
      <c r="G10" s="158">
        <f>+F10/F4</f>
        <v>0</v>
      </c>
      <c r="I10" s="108" t="e">
        <f t="shared" ref="I10:I15" si="5">(+D10/B10)-1</f>
        <v>#DIV/0!</v>
      </c>
      <c r="J10" s="108" t="e">
        <f t="shared" si="4"/>
        <v>#DIV/0!</v>
      </c>
      <c r="L10" s="109" t="e">
        <f t="shared" si="3"/>
        <v>#DIV/0!</v>
      </c>
      <c r="M10" s="100"/>
      <c r="N10" s="116">
        <f t="shared" si="0"/>
        <v>0</v>
      </c>
      <c r="O10" s="257" t="e">
        <f t="shared" si="1"/>
        <v>#DIV/0!</v>
      </c>
      <c r="P10" s="252"/>
    </row>
    <row r="11" spans="1:16" s="107" customFormat="1" x14ac:dyDescent="0.25">
      <c r="A11" s="154" t="s">
        <v>149</v>
      </c>
      <c r="B11" s="117">
        <f>+B6-B8-B9-B10</f>
        <v>34471.059999999969</v>
      </c>
      <c r="C11" s="121">
        <f>+B11/B4</f>
        <v>5.6806879818466105E-2</v>
      </c>
      <c r="D11" s="118">
        <f>+D6-D8-D9-D10</f>
        <v>57554.340000000026</v>
      </c>
      <c r="E11" s="121">
        <f>+D11/D4</f>
        <v>9.8264684336255584E-2</v>
      </c>
      <c r="F11" s="118">
        <f>+F6-F8-F9-F10</f>
        <v>49386.560000000027</v>
      </c>
      <c r="G11" s="159">
        <f>+F11/F4</f>
        <v>7.9242084196896656E-2</v>
      </c>
      <c r="I11" s="108">
        <f t="shared" si="5"/>
        <v>0.66964230284766635</v>
      </c>
      <c r="J11" s="108">
        <f t="shared" si="4"/>
        <v>-0.14191423270599568</v>
      </c>
      <c r="L11" s="109">
        <f t="shared" si="3"/>
        <v>0.26386403507083533</v>
      </c>
      <c r="M11" s="100"/>
      <c r="N11" s="116">
        <f t="shared" si="0"/>
        <v>7.8104549450539448E-2</v>
      </c>
      <c r="O11" s="257">
        <f t="shared" si="1"/>
        <v>0.26386403507083533</v>
      </c>
      <c r="P11" s="252">
        <f t="shared" si="2"/>
        <v>4115.5466666666689</v>
      </c>
    </row>
    <row r="12" spans="1:16" s="107" customFormat="1" x14ac:dyDescent="0.25">
      <c r="A12" s="156" t="s">
        <v>150</v>
      </c>
      <c r="B12" s="112">
        <v>3695</v>
      </c>
      <c r="C12" s="119">
        <f>+B12/B4</f>
        <v>6.0892070313251882E-3</v>
      </c>
      <c r="D12" s="114">
        <v>2093.6</v>
      </c>
      <c r="E12" s="119">
        <f>+D12/D4</f>
        <v>3.5744818397080848E-3</v>
      </c>
      <c r="F12" s="120">
        <v>756.34</v>
      </c>
      <c r="G12" s="158">
        <f>+F12/F4</f>
        <v>1.2135681845724989E-3</v>
      </c>
      <c r="I12" s="108">
        <f t="shared" si="5"/>
        <v>-0.43339648173207035</v>
      </c>
      <c r="J12" s="108">
        <f t="shared" si="4"/>
        <v>-0.6387371035536874</v>
      </c>
      <c r="L12" s="109">
        <f t="shared" si="3"/>
        <v>-0.53606679264287882</v>
      </c>
      <c r="M12" s="100"/>
      <c r="N12" s="116">
        <f t="shared" si="0"/>
        <v>3.625752351868591E-3</v>
      </c>
      <c r="O12" s="257">
        <f t="shared" si="1"/>
        <v>-0.53606679264287882</v>
      </c>
      <c r="P12" s="252">
        <f t="shared" si="2"/>
        <v>63.028333333333336</v>
      </c>
    </row>
    <row r="13" spans="1:16" s="111" customFormat="1" x14ac:dyDescent="0.25">
      <c r="A13" s="154" t="s">
        <v>151</v>
      </c>
      <c r="B13" s="117">
        <f>+B11-B12</f>
        <v>30776.059999999969</v>
      </c>
      <c r="C13" s="121">
        <f>+B13/B4</f>
        <v>5.0717672787140913E-2</v>
      </c>
      <c r="D13" s="118">
        <f>+D11-D12</f>
        <v>55460.740000000027</v>
      </c>
      <c r="E13" s="121">
        <f>+D13/D4</f>
        <v>9.4690202496547513E-2</v>
      </c>
      <c r="F13" s="118">
        <f>+F11-F12</f>
        <v>48630.22000000003</v>
      </c>
      <c r="G13" s="159">
        <f>+F13/F4</f>
        <v>7.8028516012324162E-2</v>
      </c>
      <c r="H13" s="107"/>
      <c r="I13" s="122">
        <f t="shared" si="5"/>
        <v>0.80207407965802258</v>
      </c>
      <c r="J13" s="122">
        <f>(+F13/D13)-1</f>
        <v>-0.12315955394753109</v>
      </c>
      <c r="K13" s="107"/>
      <c r="L13" s="109">
        <f t="shared" si="3"/>
        <v>0.33945726285524574</v>
      </c>
      <c r="M13" s="110"/>
      <c r="N13" s="116">
        <f t="shared" si="0"/>
        <v>7.4478797098670863E-2</v>
      </c>
      <c r="O13" s="257">
        <f t="shared" si="1"/>
        <v>0.33945726285524574</v>
      </c>
      <c r="P13" s="252">
        <f t="shared" si="2"/>
        <v>4052.5183333333357</v>
      </c>
    </row>
    <row r="14" spans="1:16" s="107" customFormat="1" x14ac:dyDescent="0.25">
      <c r="A14" s="156" t="s">
        <v>152</v>
      </c>
      <c r="B14" s="112">
        <f>+B13*0.15</f>
        <v>4616.4089999999951</v>
      </c>
      <c r="C14" s="119">
        <f>+B14/B4</f>
        <v>7.607650918071137E-3</v>
      </c>
      <c r="D14" s="114">
        <f>+D13*0.15</f>
        <v>8319.1110000000044</v>
      </c>
      <c r="E14" s="119">
        <f>+D14/D4</f>
        <v>1.4203530374482127E-2</v>
      </c>
      <c r="F14" s="114">
        <f>+F13*0.15</f>
        <v>7294.533000000004</v>
      </c>
      <c r="G14" s="158">
        <f>+F14/F4</f>
        <v>1.1704277401848625E-2</v>
      </c>
      <c r="I14" s="108">
        <f>(+D14/B14)-1</f>
        <v>0.8020740796580228</v>
      </c>
      <c r="J14" s="108">
        <f t="shared" si="4"/>
        <v>-0.1231595539475312</v>
      </c>
      <c r="L14" s="109">
        <f t="shared" si="3"/>
        <v>0.3394572628552458</v>
      </c>
      <c r="M14" s="100"/>
      <c r="N14" s="116">
        <f t="shared" si="0"/>
        <v>1.1171819564800629E-2</v>
      </c>
      <c r="O14" s="257">
        <f t="shared" si="1"/>
        <v>0.3394572628552458</v>
      </c>
      <c r="P14" s="252">
        <f t="shared" si="2"/>
        <v>607.87775000000033</v>
      </c>
    </row>
    <row r="15" spans="1:16" s="107" customFormat="1" x14ac:dyDescent="0.25">
      <c r="A15" s="156" t="s">
        <v>153</v>
      </c>
      <c r="B15" s="112">
        <f>+(B13-B14)*0.24</f>
        <v>6278.3162399999928</v>
      </c>
      <c r="C15" s="119">
        <f>+B15/B4</f>
        <v>1.0346405248576745E-2</v>
      </c>
      <c r="D15" s="112"/>
      <c r="E15" s="119">
        <f>+D15/D4</f>
        <v>0</v>
      </c>
      <c r="F15" s="112">
        <f>+(F13-F14)*0.24</f>
        <v>9920.5648800000054</v>
      </c>
      <c r="G15" s="158">
        <f>+F15/F4</f>
        <v>1.5917817266514128E-2</v>
      </c>
      <c r="I15" s="108">
        <f t="shared" si="5"/>
        <v>-1</v>
      </c>
      <c r="J15" s="108" t="e">
        <f>(+F15/D15)-1</f>
        <v>#DIV/0!</v>
      </c>
      <c r="L15" s="109" t="e">
        <f t="shared" si="3"/>
        <v>#DIV/0!</v>
      </c>
      <c r="M15" s="100"/>
      <c r="N15" s="116">
        <f t="shared" si="0"/>
        <v>8.7547408383636238E-3</v>
      </c>
      <c r="O15" s="257" t="e">
        <f t="shared" si="1"/>
        <v>#DIV/0!</v>
      </c>
      <c r="P15" s="252">
        <f t="shared" si="2"/>
        <v>826.71374000000048</v>
      </c>
    </row>
    <row r="16" spans="1:16" s="111" customFormat="1" ht="12.6" thickBot="1" x14ac:dyDescent="0.3">
      <c r="A16" s="160" t="s">
        <v>154</v>
      </c>
      <c r="B16" s="123">
        <f>+B13-B14-B15</f>
        <v>19881.33475999998</v>
      </c>
      <c r="C16" s="124">
        <f>+B16/B4</f>
        <v>3.2763616620493034E-2</v>
      </c>
      <c r="D16" s="125">
        <f>+D13-D14-D15</f>
        <v>47141.629000000023</v>
      </c>
      <c r="E16" s="124">
        <f>+D16/D4</f>
        <v>8.0486672122065381E-2</v>
      </c>
      <c r="F16" s="125">
        <f>+F13-F14-F15</f>
        <v>31415.122120000022</v>
      </c>
      <c r="G16" s="161">
        <f>+F16/F4</f>
        <v>5.0406421343961415E-2</v>
      </c>
      <c r="H16" s="107"/>
      <c r="I16" s="108">
        <f>(+D16/B16)-1</f>
        <v>1.3711501048131876</v>
      </c>
      <c r="J16" s="108">
        <f>(+F16/D16)-1</f>
        <v>-0.33360126100012355</v>
      </c>
      <c r="K16" s="107"/>
      <c r="L16" s="109">
        <f t="shared" si="3"/>
        <v>0.518774421906532</v>
      </c>
      <c r="M16" s="110"/>
      <c r="N16" s="116">
        <f t="shared" si="0"/>
        <v>5.4552236695506608E-2</v>
      </c>
      <c r="O16" s="257">
        <f t="shared" si="1"/>
        <v>0.518774421906532</v>
      </c>
      <c r="P16" s="252">
        <f>+F16/12</f>
        <v>2617.926843333335</v>
      </c>
    </row>
    <row r="17" spans="1:16" s="107" customFormat="1" x14ac:dyDescent="0.25">
      <c r="A17" s="126"/>
      <c r="B17" s="127"/>
      <c r="C17" s="128">
        <f>+C5+C8+C9+C10+C12+C14+C15+C16</f>
        <v>1</v>
      </c>
      <c r="E17" s="128">
        <f>+E5+E8+E9+E10+E12+E14+E15+E16</f>
        <v>1</v>
      </c>
      <c r="G17" s="128">
        <f>+G5+G8+G9+G10+G12+G14+G15+G16</f>
        <v>1</v>
      </c>
      <c r="L17" s="100"/>
      <c r="M17" s="100"/>
      <c r="N17" s="116"/>
      <c r="P17" s="253"/>
    </row>
    <row r="18" spans="1:16" s="107" customFormat="1" x14ac:dyDescent="0.25">
      <c r="A18" s="126"/>
      <c r="B18" s="127"/>
      <c r="C18" s="128"/>
      <c r="E18" s="128"/>
      <c r="G18" s="128"/>
      <c r="I18" s="223"/>
      <c r="L18" s="100"/>
      <c r="M18" s="100"/>
      <c r="N18" s="116"/>
      <c r="P18" s="253"/>
    </row>
    <row r="19" spans="1:16" s="107" customFormat="1" x14ac:dyDescent="0.25">
      <c r="A19" s="126"/>
      <c r="B19" s="127"/>
      <c r="C19" s="128"/>
      <c r="E19" s="128"/>
      <c r="F19" s="128"/>
      <c r="G19" s="128"/>
      <c r="L19" s="100"/>
      <c r="M19" s="100"/>
      <c r="N19" s="116"/>
      <c r="P19" s="253"/>
    </row>
    <row r="20" spans="1:16" s="107" customFormat="1" ht="15" thickBot="1" x14ac:dyDescent="0.35">
      <c r="A20" s="126"/>
      <c r="B20" s="127"/>
      <c r="C20" s="128"/>
      <c r="E20" s="128"/>
      <c r="G20" s="128"/>
      <c r="I20"/>
      <c r="J20"/>
      <c r="L20" s="100"/>
      <c r="M20" s="100"/>
      <c r="N20" s="116"/>
      <c r="P20" s="253"/>
    </row>
    <row r="21" spans="1:16" s="107" customFormat="1" ht="14.4" x14ac:dyDescent="0.3">
      <c r="A21" s="283" t="s">
        <v>155</v>
      </c>
      <c r="B21" s="284"/>
      <c r="C21" s="284"/>
      <c r="D21" s="284"/>
      <c r="E21" s="284"/>
      <c r="F21" s="284"/>
      <c r="G21" s="285"/>
      <c r="I21" s="278" t="s">
        <v>140</v>
      </c>
      <c r="J21" s="278"/>
      <c r="L21" s="100"/>
      <c r="M21" s="100"/>
      <c r="N21" s="116"/>
      <c r="P21" s="253"/>
    </row>
    <row r="22" spans="1:16" s="107" customFormat="1" x14ac:dyDescent="0.25">
      <c r="A22" s="153"/>
      <c r="B22" s="286">
        <f>+B3</f>
        <v>2011</v>
      </c>
      <c r="C22" s="287"/>
      <c r="D22" s="286">
        <f>+D3</f>
        <v>2012</v>
      </c>
      <c r="E22" s="287"/>
      <c r="F22" s="286">
        <f>+F3</f>
        <v>2013</v>
      </c>
      <c r="G22" s="288"/>
      <c r="I22" s="191" t="s">
        <v>199</v>
      </c>
      <c r="J22" s="191" t="s">
        <v>200</v>
      </c>
      <c r="L22" s="100"/>
      <c r="M22" s="100"/>
      <c r="N22" s="116"/>
      <c r="P22" s="253"/>
    </row>
    <row r="23" spans="1:16" s="107" customFormat="1" x14ac:dyDescent="0.25">
      <c r="A23" s="156" t="s">
        <v>180</v>
      </c>
      <c r="B23" s="112">
        <f>73.77+23339.13</f>
        <v>23412.9</v>
      </c>
      <c r="C23" s="129">
        <f>+B23/$B$36</f>
        <v>0.14213056034391702</v>
      </c>
      <c r="D23" s="114">
        <v>27293.119999999999</v>
      </c>
      <c r="E23" s="129">
        <f t="shared" ref="E23:E34" si="6">+D23/D$36</f>
        <v>0.13016505178393489</v>
      </c>
      <c r="F23" s="130">
        <v>12400</v>
      </c>
      <c r="G23" s="162">
        <f t="shared" ref="G23:G35" si="7">+F23/F$36</f>
        <v>4.3905749227710261E-2</v>
      </c>
      <c r="I23" s="108">
        <f>(+D23/B23)-1</f>
        <v>0.16573000354505418</v>
      </c>
      <c r="J23" s="108">
        <f t="shared" ref="J23:J35" si="8">(+F23/D23)-1</f>
        <v>-0.54567304873902289</v>
      </c>
      <c r="L23" s="109">
        <f>AVERAGE(I23:K23)</f>
        <v>-0.18997152259698435</v>
      </c>
      <c r="M23" s="100"/>
      <c r="N23" s="116">
        <f t="shared" ref="N23:N37" si="9">AVERAGE(C23,E23,G23)</f>
        <v>0.10540045378518741</v>
      </c>
      <c r="P23" s="253"/>
    </row>
    <row r="24" spans="1:16" s="107" customFormat="1" x14ac:dyDescent="0.25">
      <c r="A24" s="156" t="s">
        <v>179</v>
      </c>
      <c r="B24" s="112">
        <v>0</v>
      </c>
      <c r="C24" s="129">
        <f t="shared" ref="C24:C33" si="10">+B24/$B$36</f>
        <v>0</v>
      </c>
      <c r="D24" s="114"/>
      <c r="E24" s="129">
        <f>+D24/D$36</f>
        <v>0</v>
      </c>
      <c r="F24" s="130"/>
      <c r="G24" s="162">
        <f t="shared" si="7"/>
        <v>0</v>
      </c>
      <c r="I24" s="108" t="e">
        <f>(+D24/B24)-1</f>
        <v>#DIV/0!</v>
      </c>
      <c r="J24" s="108" t="e">
        <f>(+F24/D24)-1</f>
        <v>#DIV/0!</v>
      </c>
      <c r="L24" s="109" t="e">
        <f>AVERAGE(I24:J24)</f>
        <v>#DIV/0!</v>
      </c>
      <c r="M24" s="100"/>
      <c r="N24" s="116">
        <f t="shared" si="9"/>
        <v>0</v>
      </c>
      <c r="P24" s="253"/>
    </row>
    <row r="25" spans="1:16" s="107" customFormat="1" x14ac:dyDescent="0.25">
      <c r="A25" s="156" t="s">
        <v>181</v>
      </c>
      <c r="B25" s="112">
        <v>39127.29</v>
      </c>
      <c r="C25" s="129">
        <f t="shared" si="10"/>
        <v>0.23752647696094636</v>
      </c>
      <c r="D25" s="114">
        <v>50192.93</v>
      </c>
      <c r="E25" s="129">
        <f t="shared" si="6"/>
        <v>0.23937773814929986</v>
      </c>
      <c r="F25" s="130">
        <v>118213.56</v>
      </c>
      <c r="G25" s="162">
        <f t="shared" si="7"/>
        <v>0.41856894521571614</v>
      </c>
      <c r="I25" s="108">
        <f t="shared" ref="I25:I36" si="11">(+D25/B25)-1</f>
        <v>0.28281130637976704</v>
      </c>
      <c r="J25" s="108">
        <f t="shared" si="8"/>
        <v>1.3551834889893857</v>
      </c>
      <c r="L25" s="109">
        <f>AVERAGE(I25:K25)</f>
        <v>0.81899739768457636</v>
      </c>
      <c r="M25" s="100"/>
      <c r="N25" s="116">
        <f t="shared" si="9"/>
        <v>0.29849105344198745</v>
      </c>
      <c r="P25" s="253"/>
    </row>
    <row r="26" spans="1:16" s="107" customFormat="1" x14ac:dyDescent="0.25">
      <c r="A26" s="156" t="s">
        <v>182</v>
      </c>
      <c r="B26" s="112">
        <v>18183.060000000001</v>
      </c>
      <c r="C26" s="129">
        <f t="shared" si="10"/>
        <v>0.11038224681979011</v>
      </c>
      <c r="D26" s="114">
        <v>27981.599999999999</v>
      </c>
      <c r="E26" s="129">
        <f t="shared" si="6"/>
        <v>0.13344851790478157</v>
      </c>
      <c r="F26" s="130">
        <v>35789.29</v>
      </c>
      <c r="G26" s="162">
        <f t="shared" si="7"/>
        <v>0.12672222514337086</v>
      </c>
      <c r="I26" s="108">
        <f t="shared" si="11"/>
        <v>0.53888289429831926</v>
      </c>
      <c r="J26" s="108">
        <f t="shared" si="8"/>
        <v>0.27902943362781274</v>
      </c>
      <c r="L26" s="109">
        <f>AVERAGE(I26:K26)</f>
        <v>0.408956163963066</v>
      </c>
      <c r="M26" s="100"/>
      <c r="N26" s="116">
        <f t="shared" si="9"/>
        <v>0.12351766328931418</v>
      </c>
      <c r="P26" s="253"/>
    </row>
    <row r="27" spans="1:16" s="107" customFormat="1" x14ac:dyDescent="0.25">
      <c r="A27" s="163" t="s">
        <v>183</v>
      </c>
      <c r="B27" s="112">
        <v>70688.289999999994</v>
      </c>
      <c r="C27" s="129">
        <f t="shared" si="10"/>
        <v>0.42912096611070416</v>
      </c>
      <c r="D27" s="114">
        <v>88094.47</v>
      </c>
      <c r="E27" s="129">
        <f>+D27/D$36</f>
        <v>0.42013596281510868</v>
      </c>
      <c r="F27" s="130">
        <v>102303.74</v>
      </c>
      <c r="G27" s="162">
        <f t="shared" si="7"/>
        <v>0.36223567366910253</v>
      </c>
      <c r="I27" s="108">
        <f>(+D27/B27)-1</f>
        <v>0.24623852126002777</v>
      </c>
      <c r="J27" s="108">
        <f>(+F27/D27)-1</f>
        <v>0.16129582254141495</v>
      </c>
      <c r="L27" s="109"/>
      <c r="M27" s="100"/>
      <c r="N27" s="116">
        <f t="shared" si="9"/>
        <v>0.40383086753163844</v>
      </c>
      <c r="P27" s="253"/>
    </row>
    <row r="28" spans="1:16" s="107" customFormat="1" x14ac:dyDescent="0.25">
      <c r="A28" s="156" t="s">
        <v>185</v>
      </c>
      <c r="B28" s="112">
        <v>10520.78</v>
      </c>
      <c r="C28" s="129">
        <f t="shared" si="10"/>
        <v>6.3867541255251403E-2</v>
      </c>
      <c r="D28" s="114">
        <v>10000</v>
      </c>
      <c r="E28" s="129">
        <f t="shared" si="6"/>
        <v>4.7691525111066412E-2</v>
      </c>
      <c r="F28" s="130">
        <v>10000</v>
      </c>
      <c r="G28" s="162">
        <f t="shared" si="7"/>
        <v>3.5407862280411498E-2</v>
      </c>
      <c r="I28" s="108">
        <f t="shared" si="11"/>
        <v>-4.9500132119481677E-2</v>
      </c>
      <c r="J28" s="108">
        <f t="shared" si="8"/>
        <v>0</v>
      </c>
      <c r="L28" s="109"/>
      <c r="M28" s="100"/>
      <c r="N28" s="116">
        <f t="shared" si="9"/>
        <v>4.8988976215576442E-2</v>
      </c>
      <c r="P28" s="253"/>
    </row>
    <row r="29" spans="1:16" s="111" customFormat="1" x14ac:dyDescent="0.25">
      <c r="A29" s="154" t="s">
        <v>184</v>
      </c>
      <c r="B29" s="117">
        <f>SUM(B23:B28)</f>
        <v>161932.31999999998</v>
      </c>
      <c r="C29" s="131">
        <f t="shared" si="10"/>
        <v>0.98302779149060893</v>
      </c>
      <c r="D29" s="118">
        <f>SUM(D23:D28)</f>
        <v>203562.12</v>
      </c>
      <c r="E29" s="131">
        <f t="shared" si="6"/>
        <v>0.97081879576419139</v>
      </c>
      <c r="F29" s="118">
        <f>SUM(F23:F28)</f>
        <v>278706.59000000003</v>
      </c>
      <c r="G29" s="164">
        <f t="shared" si="7"/>
        <v>0.98684045553631139</v>
      </c>
      <c r="H29" s="107"/>
      <c r="I29" s="108">
        <f t="shared" si="11"/>
        <v>0.25708147700224404</v>
      </c>
      <c r="J29" s="108">
        <f t="shared" si="8"/>
        <v>0.36914760958473036</v>
      </c>
      <c r="K29" s="107"/>
      <c r="L29" s="109">
        <f>AVERAGE(I29:K29)</f>
        <v>0.3131145432934872</v>
      </c>
      <c r="M29" s="110"/>
      <c r="N29" s="116">
        <f t="shared" si="9"/>
        <v>0.9802290142637039</v>
      </c>
      <c r="O29" s="107"/>
      <c r="P29" s="254"/>
    </row>
    <row r="30" spans="1:16" s="107" customFormat="1" x14ac:dyDescent="0.25">
      <c r="A30" s="163" t="s">
        <v>186</v>
      </c>
      <c r="B30" s="112">
        <v>7933.07</v>
      </c>
      <c r="C30" s="129">
        <f t="shared" si="10"/>
        <v>4.8158565762785377E-2</v>
      </c>
      <c r="D30" s="114">
        <v>11700.3</v>
      </c>
      <c r="E30" s="129">
        <f t="shared" si="6"/>
        <v>5.5800515125701028E-2</v>
      </c>
      <c r="F30" s="130">
        <v>11700.3</v>
      </c>
      <c r="G30" s="162">
        <f t="shared" si="7"/>
        <v>4.1428261103949864E-2</v>
      </c>
      <c r="I30" s="108">
        <f t="shared" si="11"/>
        <v>0.47487668708331077</v>
      </c>
      <c r="J30" s="108">
        <f t="shared" si="8"/>
        <v>0</v>
      </c>
      <c r="L30" s="109">
        <f>AVERAGE(I30:K30)</f>
        <v>0.23743834354165538</v>
      </c>
      <c r="M30" s="100"/>
      <c r="N30" s="116">
        <f t="shared" si="9"/>
        <v>4.8462447330812092E-2</v>
      </c>
      <c r="P30" s="253"/>
    </row>
    <row r="31" spans="1:16" s="107" customFormat="1" x14ac:dyDescent="0.25">
      <c r="A31" s="165" t="s">
        <v>156</v>
      </c>
      <c r="B31" s="112">
        <v>5137.2700000000004</v>
      </c>
      <c r="C31" s="129">
        <f t="shared" si="10"/>
        <v>3.1186357253394269E-2</v>
      </c>
      <c r="D31" s="132">
        <v>5581.56</v>
      </c>
      <c r="E31" s="129">
        <f t="shared" si="6"/>
        <v>2.6619310889892386E-2</v>
      </c>
      <c r="F31" s="130">
        <v>7983.74</v>
      </c>
      <c r="G31" s="162">
        <f t="shared" si="7"/>
        <v>2.826871664026125E-2</v>
      </c>
      <c r="I31" s="108">
        <f t="shared" si="11"/>
        <v>8.6483677128124548E-2</v>
      </c>
      <c r="J31" s="108">
        <f t="shared" si="8"/>
        <v>0.43037788718566117</v>
      </c>
      <c r="L31" s="109">
        <f>AVERAGE(I31:K31)</f>
        <v>0.25843078215689286</v>
      </c>
      <c r="M31" s="100"/>
      <c r="N31" s="116">
        <f t="shared" si="9"/>
        <v>2.8691461594515966E-2</v>
      </c>
      <c r="P31" s="253"/>
    </row>
    <row r="32" spans="1:16" s="107" customFormat="1" x14ac:dyDescent="0.25">
      <c r="A32" s="163" t="s">
        <v>187</v>
      </c>
      <c r="B32" s="112"/>
      <c r="C32" s="129">
        <f t="shared" si="10"/>
        <v>0</v>
      </c>
      <c r="D32" s="114"/>
      <c r="E32" s="129">
        <f t="shared" si="6"/>
        <v>0</v>
      </c>
      <c r="F32" s="130"/>
      <c r="G32" s="162">
        <f t="shared" si="7"/>
        <v>0</v>
      </c>
      <c r="I32" s="108" t="e">
        <f t="shared" si="11"/>
        <v>#DIV/0!</v>
      </c>
      <c r="J32" s="108" t="e">
        <f t="shared" si="8"/>
        <v>#DIV/0!</v>
      </c>
      <c r="L32" s="109"/>
      <c r="M32" s="100"/>
      <c r="N32" s="116">
        <f t="shared" si="9"/>
        <v>0</v>
      </c>
      <c r="P32" s="253"/>
    </row>
    <row r="33" spans="1:16" s="107" customFormat="1" x14ac:dyDescent="0.25">
      <c r="A33" s="165" t="s">
        <v>188</v>
      </c>
      <c r="B33" s="112"/>
      <c r="C33" s="129">
        <f t="shared" si="10"/>
        <v>0</v>
      </c>
      <c r="D33" s="114"/>
      <c r="E33" s="129">
        <f t="shared" si="6"/>
        <v>0</v>
      </c>
      <c r="F33" s="130"/>
      <c r="G33" s="162">
        <f t="shared" si="7"/>
        <v>0</v>
      </c>
      <c r="I33" s="108" t="e">
        <f t="shared" si="11"/>
        <v>#DIV/0!</v>
      </c>
      <c r="J33" s="108" t="e">
        <f t="shared" si="8"/>
        <v>#DIV/0!</v>
      </c>
      <c r="L33" s="109"/>
      <c r="M33" s="100"/>
      <c r="N33" s="116">
        <f t="shared" si="9"/>
        <v>0</v>
      </c>
      <c r="P33" s="253"/>
    </row>
    <row r="34" spans="1:16" s="111" customFormat="1" x14ac:dyDescent="0.25">
      <c r="A34" s="154" t="s">
        <v>189</v>
      </c>
      <c r="B34" s="117">
        <f>+B30-B31+B32-B33</f>
        <v>2795.7999999999993</v>
      </c>
      <c r="C34" s="131">
        <f>+B34/$B$36</f>
        <v>1.6972208509391108E-2</v>
      </c>
      <c r="D34" s="118">
        <f>+D30-D31+D32-D33</f>
        <v>6118.7399999999989</v>
      </c>
      <c r="E34" s="131">
        <f t="shared" si="6"/>
        <v>2.9181204235808646E-2</v>
      </c>
      <c r="F34" s="118">
        <f>+F30-F31+F32-F33</f>
        <v>3716.5599999999995</v>
      </c>
      <c r="G34" s="164">
        <f t="shared" si="7"/>
        <v>1.3159544463688614E-2</v>
      </c>
      <c r="H34" s="107"/>
      <c r="I34" s="108">
        <f t="shared" si="11"/>
        <v>1.1885471063738469</v>
      </c>
      <c r="J34" s="108">
        <f t="shared" si="8"/>
        <v>-0.39259390005131778</v>
      </c>
      <c r="K34" s="107"/>
      <c r="L34" s="109">
        <f>AVERAGE(I34:K34)</f>
        <v>0.39797660316126454</v>
      </c>
      <c r="M34" s="110"/>
      <c r="N34" s="116">
        <f t="shared" si="9"/>
        <v>1.9770985736296123E-2</v>
      </c>
      <c r="O34" s="107"/>
      <c r="P34" s="254"/>
    </row>
    <row r="35" spans="1:16" s="107" customFormat="1" x14ac:dyDescent="0.25">
      <c r="A35" s="154" t="s">
        <v>190</v>
      </c>
      <c r="B35" s="112"/>
      <c r="C35" s="129">
        <f>+B35/$B$36</f>
        <v>0</v>
      </c>
      <c r="D35" s="114"/>
      <c r="E35" s="129">
        <f>+D35/D$36</f>
        <v>0</v>
      </c>
      <c r="F35" s="130"/>
      <c r="G35" s="162">
        <f t="shared" si="7"/>
        <v>0</v>
      </c>
      <c r="I35" s="108" t="e">
        <f t="shared" si="11"/>
        <v>#DIV/0!</v>
      </c>
      <c r="J35" s="108" t="e">
        <f t="shared" si="8"/>
        <v>#DIV/0!</v>
      </c>
      <c r="L35" s="109" t="e">
        <f>AVERAGE(I35:K35)</f>
        <v>#DIV/0!</v>
      </c>
      <c r="M35" s="100"/>
      <c r="N35" s="116">
        <f t="shared" si="9"/>
        <v>0</v>
      </c>
      <c r="P35" s="253"/>
    </row>
    <row r="36" spans="1:16" s="111" customFormat="1" ht="12.6" thickBot="1" x14ac:dyDescent="0.3">
      <c r="A36" s="154" t="s">
        <v>157</v>
      </c>
      <c r="B36" s="123">
        <f>+B34+B29+B35</f>
        <v>164728.11999999997</v>
      </c>
      <c r="C36" s="133">
        <f>+C29+C34+C35</f>
        <v>1</v>
      </c>
      <c r="D36" s="125">
        <f>+D34+D29+D35</f>
        <v>209680.86</v>
      </c>
      <c r="E36" s="133">
        <f>+E29+E34+E35</f>
        <v>1</v>
      </c>
      <c r="F36" s="125">
        <f>+F34+F29+F35</f>
        <v>282423.15000000002</v>
      </c>
      <c r="G36" s="166">
        <f>+G29+G34+G35</f>
        <v>1</v>
      </c>
      <c r="H36" s="107"/>
      <c r="I36" s="108">
        <f t="shared" si="11"/>
        <v>0.27289050588327024</v>
      </c>
      <c r="J36" s="108">
        <f>(+F36/D36)-1</f>
        <v>0.34691907501714758</v>
      </c>
      <c r="K36" s="107"/>
      <c r="L36" s="109">
        <f>AVERAGE(I36:K36)</f>
        <v>0.30990479045020891</v>
      </c>
      <c r="M36" s="110"/>
      <c r="N36" s="116">
        <f t="shared" si="9"/>
        <v>1</v>
      </c>
      <c r="O36" s="107"/>
      <c r="P36" s="254"/>
    </row>
    <row r="37" spans="1:16" s="107" customFormat="1" x14ac:dyDescent="0.25">
      <c r="A37" s="156" t="s">
        <v>191</v>
      </c>
      <c r="B37" s="112">
        <v>1591.81</v>
      </c>
      <c r="C37" s="129">
        <f>+B37/$B$55</f>
        <v>9.663256036674249E-3</v>
      </c>
      <c r="D37" s="114">
        <v>7292.36</v>
      </c>
      <c r="E37" s="129">
        <f t="shared" ref="E37:E48" si="12">+D37/$D$55</f>
        <v>3.4778377005893618E-2</v>
      </c>
      <c r="F37" s="134">
        <v>76508.97</v>
      </c>
      <c r="G37" s="162">
        <f t="shared" ref="G37:G48" si="13">+F37/$F$55</f>
        <v>0.27090190729761349</v>
      </c>
      <c r="I37" s="108">
        <f>(+D37/B37)-1</f>
        <v>3.5811748889628783</v>
      </c>
      <c r="J37" s="108">
        <f>(+F37/D37)-1</f>
        <v>9.4916611357640051</v>
      </c>
      <c r="L37" s="109">
        <f>AVERAGE(I37:K37)</f>
        <v>6.5364180123634412</v>
      </c>
      <c r="M37" s="100"/>
      <c r="N37" s="116">
        <f t="shared" si="9"/>
        <v>0.10511451344672712</v>
      </c>
      <c r="P37" s="253"/>
    </row>
    <row r="38" spans="1:16" s="107" customFormat="1" x14ac:dyDescent="0.25">
      <c r="A38" s="156" t="s">
        <v>204</v>
      </c>
      <c r="B38" s="112">
        <v>5967.72</v>
      </c>
      <c r="C38" s="129">
        <f t="shared" ref="C38:C48" si="14">+B38/$B$55</f>
        <v>3.6227694457995396E-2</v>
      </c>
      <c r="D38" s="114"/>
      <c r="E38" s="129">
        <f t="shared" si="12"/>
        <v>0</v>
      </c>
      <c r="F38" s="134"/>
      <c r="G38" s="162">
        <f t="shared" si="13"/>
        <v>0</v>
      </c>
      <c r="I38" s="108">
        <f t="shared" ref="I38:I48" si="15">(+D38/B38)-1</f>
        <v>-1</v>
      </c>
      <c r="J38" s="108" t="e">
        <f t="shared" ref="J38:J48" si="16">(+F38/D38)-1</f>
        <v>#DIV/0!</v>
      </c>
      <c r="L38" s="109"/>
      <c r="M38" s="100"/>
      <c r="N38" s="135"/>
      <c r="P38" s="253"/>
    </row>
    <row r="39" spans="1:16" s="107" customFormat="1" x14ac:dyDescent="0.25">
      <c r="A39" s="156" t="s">
        <v>193</v>
      </c>
      <c r="B39" s="112"/>
      <c r="C39" s="129">
        <f t="shared" si="14"/>
        <v>0</v>
      </c>
      <c r="D39" s="114"/>
      <c r="E39" s="129">
        <f t="shared" si="12"/>
        <v>0</v>
      </c>
      <c r="F39" s="134"/>
      <c r="G39" s="162">
        <f t="shared" si="13"/>
        <v>0</v>
      </c>
      <c r="I39" s="108" t="e">
        <f t="shared" si="15"/>
        <v>#DIV/0!</v>
      </c>
      <c r="J39" s="108" t="e">
        <f t="shared" si="16"/>
        <v>#DIV/0!</v>
      </c>
      <c r="L39" s="109"/>
      <c r="M39" s="100"/>
      <c r="N39" s="135"/>
      <c r="P39" s="253"/>
    </row>
    <row r="40" spans="1:16" s="107" customFormat="1" x14ac:dyDescent="0.25">
      <c r="A40" s="156" t="s">
        <v>158</v>
      </c>
      <c r="B40" s="112">
        <f>6000+8366.07+866.81+11080.68+4616.41+6278.32</f>
        <v>37208.289999999994</v>
      </c>
      <c r="C40" s="129">
        <f t="shared" si="14"/>
        <v>0.22587697838110454</v>
      </c>
      <c r="D40" s="114">
        <v>44761.99</v>
      </c>
      <c r="E40" s="129">
        <f t="shared" si="12"/>
        <v>0.21347675701063032</v>
      </c>
      <c r="F40" s="134">
        <v>56674.85</v>
      </c>
      <c r="G40" s="162">
        <f t="shared" si="13"/>
        <v>0.20067352835629795</v>
      </c>
      <c r="I40" s="108">
        <f t="shared" si="15"/>
        <v>0.2030112106737505</v>
      </c>
      <c r="J40" s="108">
        <f t="shared" si="16"/>
        <v>0.26613785490770181</v>
      </c>
      <c r="L40" s="109"/>
      <c r="M40" s="100"/>
      <c r="N40" s="135"/>
      <c r="P40" s="253"/>
    </row>
    <row r="41" spans="1:16" s="107" customFormat="1" x14ac:dyDescent="0.25">
      <c r="A41" s="154" t="s">
        <v>194</v>
      </c>
      <c r="B41" s="117">
        <f>SUM(B37:B40)</f>
        <v>44767.819999999992</v>
      </c>
      <c r="C41" s="131">
        <f t="shared" si="14"/>
        <v>0.27176792887577417</v>
      </c>
      <c r="D41" s="118">
        <f>SUM(D37:D40)</f>
        <v>52054.35</v>
      </c>
      <c r="E41" s="131">
        <f t="shared" si="12"/>
        <v>0.24825513401652394</v>
      </c>
      <c r="F41" s="118">
        <f>SUM(F37:F40)</f>
        <v>133183.82</v>
      </c>
      <c r="G41" s="164">
        <f t="shared" si="13"/>
        <v>0.47157543565391152</v>
      </c>
      <c r="I41" s="108">
        <f t="shared" si="15"/>
        <v>0.16276267193711935</v>
      </c>
      <c r="J41" s="108">
        <f t="shared" si="16"/>
        <v>1.5585531276444717</v>
      </c>
      <c r="L41" s="109"/>
      <c r="M41" s="100"/>
      <c r="N41" s="135"/>
      <c r="P41" s="253"/>
    </row>
    <row r="42" spans="1:16" s="107" customFormat="1" x14ac:dyDescent="0.25">
      <c r="A42" s="156" t="s">
        <v>191</v>
      </c>
      <c r="B42" s="112"/>
      <c r="C42" s="129">
        <f t="shared" si="14"/>
        <v>0</v>
      </c>
      <c r="D42" s="114"/>
      <c r="E42" s="129">
        <f t="shared" si="12"/>
        <v>0</v>
      </c>
      <c r="F42" s="134"/>
      <c r="G42" s="162">
        <f t="shared" si="13"/>
        <v>0</v>
      </c>
      <c r="I42" s="108" t="e">
        <f t="shared" si="15"/>
        <v>#DIV/0!</v>
      </c>
      <c r="J42" s="108" t="e">
        <f t="shared" si="16"/>
        <v>#DIV/0!</v>
      </c>
      <c r="L42" s="109"/>
      <c r="M42" s="100"/>
      <c r="N42" s="135"/>
      <c r="P42" s="253"/>
    </row>
    <row r="43" spans="1:16" s="107" customFormat="1" x14ac:dyDescent="0.25">
      <c r="A43" s="156" t="s">
        <v>192</v>
      </c>
      <c r="B43" s="112"/>
      <c r="C43" s="129">
        <f t="shared" si="14"/>
        <v>0</v>
      </c>
      <c r="D43" s="114"/>
      <c r="E43" s="129">
        <f t="shared" si="12"/>
        <v>0</v>
      </c>
      <c r="F43" s="134"/>
      <c r="G43" s="162">
        <f t="shared" si="13"/>
        <v>0</v>
      </c>
      <c r="I43" s="108" t="e">
        <f t="shared" si="15"/>
        <v>#DIV/0!</v>
      </c>
      <c r="J43" s="108" t="e">
        <f t="shared" si="16"/>
        <v>#DIV/0!</v>
      </c>
      <c r="L43" s="109"/>
      <c r="M43" s="100"/>
      <c r="N43" s="135"/>
      <c r="P43" s="253"/>
    </row>
    <row r="44" spans="1:16" s="107" customFormat="1" x14ac:dyDescent="0.25">
      <c r="A44" s="156" t="s">
        <v>193</v>
      </c>
      <c r="B44" s="112"/>
      <c r="C44" s="129">
        <f t="shared" si="14"/>
        <v>0</v>
      </c>
      <c r="D44" s="114"/>
      <c r="E44" s="129">
        <f t="shared" si="12"/>
        <v>0</v>
      </c>
      <c r="F44" s="134"/>
      <c r="G44" s="162">
        <f t="shared" si="13"/>
        <v>0</v>
      </c>
      <c r="I44" s="108" t="e">
        <f>(+D44/B44)-1</f>
        <v>#DIV/0!</v>
      </c>
      <c r="J44" s="108" t="e">
        <f t="shared" si="16"/>
        <v>#DIV/0!</v>
      </c>
      <c r="L44" s="109"/>
      <c r="M44" s="100"/>
      <c r="N44" s="135"/>
      <c r="P44" s="253"/>
    </row>
    <row r="45" spans="1:16" s="107" customFormat="1" x14ac:dyDescent="0.25">
      <c r="A45" s="156" t="s">
        <v>195</v>
      </c>
      <c r="B45" s="112">
        <v>9475.42</v>
      </c>
      <c r="C45" s="129">
        <f t="shared" si="14"/>
        <v>5.7521569480669117E-2</v>
      </c>
      <c r="D45" s="114"/>
      <c r="E45" s="129">
        <f t="shared" si="12"/>
        <v>0</v>
      </c>
      <c r="F45" s="134"/>
      <c r="G45" s="162">
        <f t="shared" si="13"/>
        <v>0</v>
      </c>
      <c r="I45" s="108">
        <f t="shared" si="15"/>
        <v>-1</v>
      </c>
      <c r="J45" s="108" t="e">
        <f t="shared" si="16"/>
        <v>#DIV/0!</v>
      </c>
      <c r="L45" s="109"/>
      <c r="M45" s="100"/>
      <c r="N45" s="135"/>
      <c r="P45" s="253"/>
    </row>
    <row r="46" spans="1:16" s="107" customFormat="1" x14ac:dyDescent="0.25">
      <c r="A46" s="154" t="s">
        <v>196</v>
      </c>
      <c r="B46" s="117">
        <f>SUM(B42:B45)</f>
        <v>9475.42</v>
      </c>
      <c r="C46" s="131">
        <f>+B46/$B$55</f>
        <v>5.7521569480669117E-2</v>
      </c>
      <c r="D46" s="118">
        <f>SUM(D42:D45)</f>
        <v>0</v>
      </c>
      <c r="E46" s="131">
        <f t="shared" si="12"/>
        <v>0</v>
      </c>
      <c r="F46" s="118">
        <f>SUM(F42:F45)</f>
        <v>0</v>
      </c>
      <c r="G46" s="164">
        <f t="shared" si="13"/>
        <v>0</v>
      </c>
      <c r="I46" s="108">
        <f t="shared" si="15"/>
        <v>-1</v>
      </c>
      <c r="J46" s="108" t="e">
        <f t="shared" si="16"/>
        <v>#DIV/0!</v>
      </c>
      <c r="L46" s="109"/>
      <c r="M46" s="100"/>
      <c r="N46" s="135"/>
      <c r="P46" s="253"/>
    </row>
    <row r="47" spans="1:16" s="107" customFormat="1" x14ac:dyDescent="0.25">
      <c r="A47" s="154" t="s">
        <v>197</v>
      </c>
      <c r="B47" s="112"/>
      <c r="C47" s="129">
        <f t="shared" si="14"/>
        <v>0</v>
      </c>
      <c r="D47" s="114"/>
      <c r="E47" s="129">
        <f t="shared" si="12"/>
        <v>0</v>
      </c>
      <c r="F47" s="134"/>
      <c r="G47" s="162">
        <f t="shared" si="13"/>
        <v>0</v>
      </c>
      <c r="I47" s="108" t="e">
        <f t="shared" si="15"/>
        <v>#DIV/0!</v>
      </c>
      <c r="J47" s="108" t="e">
        <f t="shared" si="16"/>
        <v>#DIV/0!</v>
      </c>
      <c r="L47" s="109" t="e">
        <f>AVERAGE(I47:K47)</f>
        <v>#DIV/0!</v>
      </c>
      <c r="M47" s="100"/>
      <c r="N47" s="135" t="e">
        <f>AVERAGE(C47,E47,G47,#REF!,#REF!)</f>
        <v>#REF!</v>
      </c>
      <c r="P47" s="253"/>
    </row>
    <row r="48" spans="1:16" s="107" customFormat="1" x14ac:dyDescent="0.25">
      <c r="A48" s="154" t="s">
        <v>159</v>
      </c>
      <c r="B48" s="103"/>
      <c r="C48" s="129">
        <f t="shared" si="14"/>
        <v>0</v>
      </c>
      <c r="D48" s="105"/>
      <c r="E48" s="129">
        <f t="shared" si="12"/>
        <v>0</v>
      </c>
      <c r="F48" s="105"/>
      <c r="G48" s="162">
        <f t="shared" si="13"/>
        <v>0</v>
      </c>
      <c r="I48" s="108" t="e">
        <f t="shared" si="15"/>
        <v>#DIV/0!</v>
      </c>
      <c r="J48" s="108" t="e">
        <f t="shared" si="16"/>
        <v>#DIV/0!</v>
      </c>
      <c r="L48" s="109" t="e">
        <f>AVERAGE(I48:K48)</f>
        <v>#DIV/0!</v>
      </c>
      <c r="M48" s="100"/>
      <c r="N48" s="136" t="e">
        <f>AVERAGE(C48,E48,G48,#REF!,#REF!)</f>
        <v>#REF!</v>
      </c>
      <c r="P48" s="253"/>
    </row>
    <row r="49" spans="1:16" s="107" customFormat="1" ht="12.6" thickBot="1" x14ac:dyDescent="0.3">
      <c r="A49" s="154" t="s">
        <v>160</v>
      </c>
      <c r="B49" s="123">
        <f t="shared" ref="B49:G49" si="17">+B41+B46+B47+B48</f>
        <v>54243.239999999991</v>
      </c>
      <c r="C49" s="137">
        <f>+C41+C46+C47+C48</f>
        <v>0.32928949835644328</v>
      </c>
      <c r="D49" s="125">
        <f t="shared" si="17"/>
        <v>52054.35</v>
      </c>
      <c r="E49" s="137">
        <f t="shared" si="17"/>
        <v>0.24825513401652394</v>
      </c>
      <c r="F49" s="125">
        <f t="shared" si="17"/>
        <v>133183.82</v>
      </c>
      <c r="G49" s="167">
        <f t="shared" si="17"/>
        <v>0.47157543565391152</v>
      </c>
      <c r="I49" s="108">
        <f>(+D49/B49)-1</f>
        <v>-4.0353231112300714E-2</v>
      </c>
      <c r="J49" s="108">
        <f>(+F49/D49)-1</f>
        <v>1.5585531276444717</v>
      </c>
      <c r="L49" s="109">
        <f>AVERAGE(I49:K49)</f>
        <v>0.75909994826608551</v>
      </c>
      <c r="M49" s="100"/>
      <c r="N49" s="136" t="e">
        <f>AVERAGE(C49,E49,G49,#REF!,#REF!)</f>
        <v>#REF!</v>
      </c>
      <c r="P49" s="253"/>
    </row>
    <row r="50" spans="1:16" s="107" customFormat="1" x14ac:dyDescent="0.25">
      <c r="A50" s="156" t="s">
        <v>161</v>
      </c>
      <c r="B50" s="112">
        <v>400</v>
      </c>
      <c r="C50" s="129">
        <f>+B50/$B$55</f>
        <v>2.4282435809987999E-3</v>
      </c>
      <c r="D50" s="114">
        <v>400</v>
      </c>
      <c r="E50" s="129">
        <f>+D50/$D$55</f>
        <v>1.9076610044426563E-3</v>
      </c>
      <c r="F50" s="114">
        <v>400</v>
      </c>
      <c r="G50" s="162">
        <f>+F50/$F$55</f>
        <v>1.41631449121646E-3</v>
      </c>
      <c r="I50" s="108">
        <f>(+D50/B50)-1</f>
        <v>0</v>
      </c>
      <c r="J50" s="108">
        <f>(+F50/D50)-1</f>
        <v>0</v>
      </c>
      <c r="L50" s="109">
        <f>AVERAGE(I50:K50)</f>
        <v>0</v>
      </c>
      <c r="M50" s="100"/>
      <c r="N50" s="135" t="e">
        <f>AVERAGE(C50,E50,G50,#REF!,#REF!)</f>
        <v>#REF!</v>
      </c>
      <c r="P50" s="253"/>
    </row>
    <row r="51" spans="1:16" s="107" customFormat="1" x14ac:dyDescent="0.25">
      <c r="A51" s="156" t="s">
        <v>198</v>
      </c>
      <c r="B51" s="112"/>
      <c r="C51" s="129">
        <f>+B51/$B$55</f>
        <v>0</v>
      </c>
      <c r="D51" s="114"/>
      <c r="E51" s="129">
        <f>+D51/$D$55</f>
        <v>0</v>
      </c>
      <c r="F51" s="105">
        <v>11834.69</v>
      </c>
      <c r="G51" s="162">
        <f>+F51/$F$55</f>
        <v>4.190410736513632E-2</v>
      </c>
      <c r="I51" s="108"/>
      <c r="J51" s="108"/>
      <c r="L51" s="109"/>
      <c r="M51" s="100"/>
      <c r="N51" s="135"/>
      <c r="P51" s="253"/>
    </row>
    <row r="52" spans="1:16" s="107" customFormat="1" x14ac:dyDescent="0.25">
      <c r="A52" s="156" t="s">
        <v>162</v>
      </c>
      <c r="B52" s="112">
        <v>90203.55</v>
      </c>
      <c r="C52" s="129">
        <f>+B52/$B$55</f>
        <v>0.54759047817701079</v>
      </c>
      <c r="D52" s="114">
        <v>110084.88</v>
      </c>
      <c r="E52" s="129">
        <f>+D52/$D$55</f>
        <v>0.52501158188687325</v>
      </c>
      <c r="F52" s="114">
        <v>105589.52</v>
      </c>
      <c r="G52" s="162">
        <f>+F52/$F$55</f>
        <v>0.37386991824147559</v>
      </c>
      <c r="I52" s="108">
        <f>(+D52/B52)-1</f>
        <v>0.22040518360973604</v>
      </c>
      <c r="J52" s="108">
        <f>(+F52/D52)-1</f>
        <v>-4.0835399012107754E-2</v>
      </c>
      <c r="L52" s="109">
        <f>AVERAGE(I52:K52)</f>
        <v>8.9784892298814145E-2</v>
      </c>
      <c r="M52" s="100"/>
      <c r="N52" s="135" t="e">
        <f>AVERAGE(C52,E52,G52,#REF!,#REF!)</f>
        <v>#REF!</v>
      </c>
      <c r="P52" s="253"/>
    </row>
    <row r="53" spans="1:16" s="107" customFormat="1" x14ac:dyDescent="0.25">
      <c r="A53" s="156" t="s">
        <v>163</v>
      </c>
      <c r="B53" s="138">
        <v>19881.330000000002</v>
      </c>
      <c r="C53" s="129">
        <f>+B53/$B$55</f>
        <v>0.12069177988554718</v>
      </c>
      <c r="D53" s="139">
        <v>47141.63</v>
      </c>
      <c r="E53" s="129">
        <f>+D53/$D$55</f>
        <v>0.22482562309216012</v>
      </c>
      <c r="F53" s="139">
        <v>31415.119999999999</v>
      </c>
      <c r="G53" s="162">
        <f>+F53/$F$55</f>
        <v>0.11123422424826009</v>
      </c>
      <c r="I53" s="108">
        <f>(+D53/B53)-1</f>
        <v>1.3711507228138156</v>
      </c>
      <c r="J53" s="108">
        <f>(+F53/D53)-1</f>
        <v>-0.33360132010709009</v>
      </c>
      <c r="L53" s="109">
        <f>AVERAGE(I53:K53)</f>
        <v>0.51877470135336279</v>
      </c>
      <c r="M53" s="100"/>
      <c r="N53" s="135" t="e">
        <f>AVERAGE(C53,E53,G53,#REF!,#REF!)</f>
        <v>#REF!</v>
      </c>
      <c r="P53" s="253"/>
    </row>
    <row r="54" spans="1:16" s="107" customFormat="1" ht="12.6" thickBot="1" x14ac:dyDescent="0.3">
      <c r="A54" s="154" t="s">
        <v>164</v>
      </c>
      <c r="B54" s="123">
        <f>SUM(B50:B53)</f>
        <v>110484.88</v>
      </c>
      <c r="C54" s="133">
        <f>+B54/$B$55</f>
        <v>0.67071050164355672</v>
      </c>
      <c r="D54" s="125">
        <f>SUM(D50:D53)</f>
        <v>157626.51</v>
      </c>
      <c r="E54" s="133">
        <f>+D54/$D$55</f>
        <v>0.75174486598347601</v>
      </c>
      <c r="F54" s="125">
        <f>SUM(F50:F53)</f>
        <v>149239.33000000002</v>
      </c>
      <c r="G54" s="166">
        <f>+F54/$F$55</f>
        <v>0.52842456434608853</v>
      </c>
      <c r="H54" s="111"/>
      <c r="I54" s="122">
        <f>(+D54/B54)-1</f>
        <v>0.42667946962516501</v>
      </c>
      <c r="J54" s="122">
        <f>(+F54/D54)-1</f>
        <v>-5.3209196854006269E-2</v>
      </c>
      <c r="L54" s="109">
        <f>AVERAGE(I54:K54)</f>
        <v>0.18673513638557937</v>
      </c>
      <c r="M54" s="100"/>
      <c r="N54" s="136" t="e">
        <f>AVERAGE(C54,E54,G54,#REF!,#REF!)</f>
        <v>#REF!</v>
      </c>
      <c r="P54" s="253"/>
    </row>
    <row r="55" spans="1:16" s="111" customFormat="1" ht="12.6" thickBot="1" x14ac:dyDescent="0.3">
      <c r="A55" s="160" t="s">
        <v>165</v>
      </c>
      <c r="B55" s="123">
        <f t="shared" ref="B55:G55" si="18">+B54+B49</f>
        <v>164728.12</v>
      </c>
      <c r="C55" s="133">
        <f t="shared" si="18"/>
        <v>1</v>
      </c>
      <c r="D55" s="125">
        <f t="shared" si="18"/>
        <v>209680.86000000002</v>
      </c>
      <c r="E55" s="133">
        <f t="shared" si="18"/>
        <v>1</v>
      </c>
      <c r="F55" s="125">
        <f t="shared" si="18"/>
        <v>282423.15000000002</v>
      </c>
      <c r="G55" s="166">
        <f t="shared" si="18"/>
        <v>1</v>
      </c>
      <c r="I55" s="122">
        <f>(+D55/B55)-1</f>
        <v>0.27289050588327002</v>
      </c>
      <c r="J55" s="122">
        <f>(+F55/D55)-1</f>
        <v>0.34691907501714758</v>
      </c>
      <c r="L55" s="109">
        <f>AVERAGE(I55:K55)</f>
        <v>0.3099047904502088</v>
      </c>
      <c r="M55" s="110"/>
      <c r="N55" s="136" t="e">
        <f>AVERAGE(C55,E55,G55,#REF!,#REF!)</f>
        <v>#REF!</v>
      </c>
      <c r="O55" s="256"/>
      <c r="P55" s="254"/>
    </row>
    <row r="56" spans="1:16" s="107" customFormat="1" ht="12.6" thickBot="1" x14ac:dyDescent="0.3">
      <c r="A56" s="126"/>
      <c r="B56" s="127"/>
      <c r="L56" s="100"/>
      <c r="M56" s="100"/>
      <c r="N56" s="100"/>
      <c r="O56" s="140"/>
      <c r="P56" s="253"/>
    </row>
    <row r="57" spans="1:16" s="107" customFormat="1" ht="12.6" thickBot="1" x14ac:dyDescent="0.3">
      <c r="A57" s="141" t="s">
        <v>205</v>
      </c>
      <c r="B57" s="142">
        <f>+B55-B36</f>
        <v>0</v>
      </c>
      <c r="C57" s="143"/>
      <c r="D57" s="142">
        <f>+D55-D36</f>
        <v>0</v>
      </c>
      <c r="E57" s="143"/>
      <c r="F57" s="142">
        <f>+F55-F36</f>
        <v>0</v>
      </c>
      <c r="G57" s="143"/>
      <c r="L57" s="100"/>
      <c r="M57" s="100"/>
      <c r="N57" s="100"/>
      <c r="O57" s="140"/>
      <c r="P57" s="253"/>
    </row>
    <row r="58" spans="1:16" x14ac:dyDescent="0.25">
      <c r="A58" s="144"/>
    </row>
    <row r="59" spans="1:16" x14ac:dyDescent="0.25">
      <c r="A59" s="144"/>
      <c r="G59" s="145"/>
    </row>
    <row r="60" spans="1:16" x14ac:dyDescent="0.25">
      <c r="B60" s="169"/>
      <c r="C60" s="169" t="s">
        <v>38</v>
      </c>
      <c r="D60" s="169"/>
      <c r="E60" s="169"/>
      <c r="F60" s="169"/>
      <c r="G60" s="169"/>
    </row>
    <row r="61" spans="1:16" ht="14.4" customHeight="1" x14ac:dyDescent="0.25">
      <c r="A61" s="183" t="s">
        <v>166</v>
      </c>
      <c r="B61" s="169"/>
      <c r="C61" s="169"/>
      <c r="D61" s="169"/>
      <c r="E61" s="169"/>
      <c r="F61" s="169"/>
      <c r="G61" s="169"/>
    </row>
    <row r="62" spans="1:16" ht="12" customHeight="1" x14ac:dyDescent="0.25">
      <c r="A62" s="184"/>
      <c r="B62" s="279">
        <f>+B22</f>
        <v>2011</v>
      </c>
      <c r="C62" s="280"/>
      <c r="D62" s="281">
        <f>+D22</f>
        <v>2012</v>
      </c>
      <c r="E62" s="282"/>
      <c r="F62" s="281">
        <f>+F22</f>
        <v>2013</v>
      </c>
      <c r="G62" s="282"/>
    </row>
    <row r="63" spans="1:16" x14ac:dyDescent="0.25">
      <c r="A63" s="185" t="s">
        <v>167</v>
      </c>
      <c r="B63" s="181"/>
      <c r="C63" s="181"/>
      <c r="D63" s="186"/>
      <c r="E63" s="181"/>
      <c r="F63" s="186"/>
      <c r="G63" s="182"/>
    </row>
    <row r="64" spans="1:16" x14ac:dyDescent="0.25">
      <c r="A64" s="172" t="s">
        <v>168</v>
      </c>
      <c r="B64" s="168">
        <f>+B29/B41</f>
        <v>3.6171589324653288</v>
      </c>
      <c r="C64" s="149" t="str">
        <f>IF(B64&gt;=1,"OK","FL")</f>
        <v>OK</v>
      </c>
      <c r="D64" s="146">
        <f>+D29/D41</f>
        <v>3.9105688573577426</v>
      </c>
      <c r="E64" s="149" t="str">
        <f>IF(D64&gt;=1,"OK","FL")</f>
        <v>OK</v>
      </c>
      <c r="F64" s="146">
        <f>+F29/F41</f>
        <v>2.0926460136073586</v>
      </c>
      <c r="G64" s="173" t="str">
        <f>IF(F64&gt;=1,"OK","FL")</f>
        <v>OK</v>
      </c>
      <c r="H64" s="147"/>
      <c r="I64" s="148"/>
    </row>
    <row r="65" spans="1:15" x14ac:dyDescent="0.25">
      <c r="A65" s="172" t="s">
        <v>258</v>
      </c>
      <c r="B65" s="168">
        <f>+(B29-B27)/B41</f>
        <v>2.0381611166235034</v>
      </c>
      <c r="C65" s="149" t="str">
        <f>IF(B65&gt;0.75,"OK","REVISAR")</f>
        <v>OK</v>
      </c>
      <c r="D65" s="146">
        <f>+(D29-D27)/D41</f>
        <v>2.2182132713212246</v>
      </c>
      <c r="E65" s="149" t="str">
        <f>IF(D65&gt;0.75,"OK","REVISAR")</f>
        <v>OK</v>
      </c>
      <c r="F65" s="146">
        <f>+(F29-F27)/F41</f>
        <v>1.3245066104876706</v>
      </c>
      <c r="G65" s="173" t="str">
        <f>IF(F65&gt;0.75,"OK","REVISAR")</f>
        <v>OK</v>
      </c>
      <c r="H65" s="147"/>
      <c r="I65" s="148"/>
    </row>
    <row r="66" spans="1:15" x14ac:dyDescent="0.25">
      <c r="A66" s="187" t="s">
        <v>203</v>
      </c>
      <c r="B66" s="188">
        <f>+B29-B41</f>
        <v>117164.49999999999</v>
      </c>
      <c r="C66" s="188"/>
      <c r="D66" s="189">
        <f>+D29-D41</f>
        <v>151507.76999999999</v>
      </c>
      <c r="E66" s="188"/>
      <c r="F66" s="189">
        <f>+F29-F41</f>
        <v>145522.77000000002</v>
      </c>
      <c r="G66" s="190"/>
      <c r="H66" s="147"/>
      <c r="I66" s="148"/>
    </row>
    <row r="67" spans="1:15" hidden="1" x14ac:dyDescent="0.25">
      <c r="A67" s="172" t="s">
        <v>202</v>
      </c>
      <c r="B67" s="168">
        <f>+B66/B55</f>
        <v>0.71125986261483465</v>
      </c>
      <c r="C67" s="149" t="str">
        <f>IF(B67&gt;=0.3,"OK","REVISAR")</f>
        <v>OK</v>
      </c>
      <c r="D67" s="146">
        <f>+D66/D36</f>
        <v>0.7225636617476674</v>
      </c>
      <c r="E67" s="149" t="str">
        <f>IF(D67&gt;=0.3,"OK","REVISAR")</f>
        <v>OK</v>
      </c>
      <c r="F67" s="146">
        <f>+F66/F36</f>
        <v>0.51526501988239992</v>
      </c>
      <c r="G67" s="173" t="str">
        <f>IF(F67&gt;=0.3,"OK","REVISAR")</f>
        <v>OK</v>
      </c>
      <c r="H67" s="147"/>
      <c r="I67" s="148"/>
    </row>
    <row r="68" spans="1:15" x14ac:dyDescent="0.25">
      <c r="A68" s="180" t="s">
        <v>169</v>
      </c>
      <c r="B68" s="181"/>
      <c r="C68" s="181"/>
      <c r="D68" s="186"/>
      <c r="E68" s="181"/>
      <c r="F68" s="186"/>
      <c r="G68" s="182"/>
      <c r="H68" s="147"/>
      <c r="I68" s="148"/>
    </row>
    <row r="69" spans="1:15" x14ac:dyDescent="0.25">
      <c r="A69" s="172" t="s">
        <v>170</v>
      </c>
      <c r="B69" s="168">
        <f>+B4/B66</f>
        <v>5.1791400978965481</v>
      </c>
      <c r="C69" s="149" t="str">
        <f>IF(B69&gt;=1,"OK","REVISAR")</f>
        <v>OK</v>
      </c>
      <c r="D69" s="146">
        <f>+D4/D66</f>
        <v>3.865856318788139</v>
      </c>
      <c r="E69" s="149" t="str">
        <f>IF(D69&gt;=2,"OK","REVISAR")</f>
        <v>OK</v>
      </c>
      <c r="F69" s="146">
        <f>+F4/F66</f>
        <v>4.2827422127822325</v>
      </c>
      <c r="G69" s="173" t="str">
        <f>IF(F69&gt;=2,"OK","REVISAR")</f>
        <v>OK</v>
      </c>
      <c r="H69" s="147"/>
      <c r="I69" s="224"/>
    </row>
    <row r="70" spans="1:15" x14ac:dyDescent="0.25">
      <c r="A70" s="172" t="s">
        <v>261</v>
      </c>
      <c r="B70" s="220">
        <f>+B4/B36</f>
        <v>3.6837144744928803</v>
      </c>
      <c r="C70" s="221" t="str">
        <f>IF(B70&gt;=1,"OK","REVISAR")</f>
        <v>OK</v>
      </c>
      <c r="D70" s="146">
        <f>+D4/D36</f>
        <v>2.7933272974939154</v>
      </c>
      <c r="E70" s="221" t="str">
        <f>IF(D70&gt;=1,"OK","REVISAR")</f>
        <v>OK</v>
      </c>
      <c r="F70" s="146">
        <f>+F4/F36</f>
        <v>2.2067472514204307</v>
      </c>
      <c r="G70" s="258" t="str">
        <f>IF(F70&gt;=1,"OK","REVISAR")</f>
        <v>OK</v>
      </c>
      <c r="H70" s="147"/>
      <c r="I70" s="148"/>
    </row>
    <row r="71" spans="1:15" x14ac:dyDescent="0.25">
      <c r="A71" s="172" t="s">
        <v>262</v>
      </c>
      <c r="B71" s="222">
        <f>+B4/B29</f>
        <v>3.7473146806023658</v>
      </c>
      <c r="C71" s="221" t="str">
        <f>IF(B71&gt;=2,"OK","REVISAR")</f>
        <v>OK</v>
      </c>
      <c r="D71" s="146">
        <f>+D4/D29</f>
        <v>2.8772900871733897</v>
      </c>
      <c r="E71" s="221" t="str">
        <f>IF(D71&gt;=2,"OK","REVISAR")</f>
        <v>OK</v>
      </c>
      <c r="F71" s="178">
        <f>+F4/F29</f>
        <v>2.2361742863704799</v>
      </c>
      <c r="G71" s="259" t="str">
        <f>IF(F71&gt;=2,"OK","REVISAR")</f>
        <v>OK</v>
      </c>
      <c r="H71" s="147"/>
      <c r="I71" s="148"/>
    </row>
    <row r="72" spans="1:15" x14ac:dyDescent="0.25">
      <c r="A72" s="180" t="s">
        <v>171</v>
      </c>
      <c r="B72" s="181"/>
      <c r="C72" s="181"/>
      <c r="D72" s="186"/>
      <c r="E72" s="181"/>
      <c r="F72" s="170"/>
      <c r="G72" s="171"/>
      <c r="H72" s="147"/>
      <c r="I72" s="148"/>
    </row>
    <row r="73" spans="1:15" ht="14.4" x14ac:dyDescent="0.3">
      <c r="A73" s="172" t="s">
        <v>172</v>
      </c>
      <c r="B73" s="168">
        <f>+(B36-B54)/B36</f>
        <v>0.32928949835644317</v>
      </c>
      <c r="C73" s="149" t="str">
        <f>IF(B73&lt;=0.7,"OK","REVISAR")</f>
        <v>OK</v>
      </c>
      <c r="D73" s="146">
        <f>+(D36-D54)/D36</f>
        <v>0.24825513401652388</v>
      </c>
      <c r="E73" s="149" t="str">
        <f>IF(D73&lt;=0.7,"OK","REVISAR")</f>
        <v>OK</v>
      </c>
      <c r="F73" s="146">
        <f>+(F36-F54)/F36</f>
        <v>0.47157543565391152</v>
      </c>
      <c r="G73" s="173" t="str">
        <f>IF(F73&lt;=0.7,"OK","REVISAR")</f>
        <v>OK</v>
      </c>
      <c r="I73"/>
      <c r="O73" s="147"/>
    </row>
    <row r="74" spans="1:15" x14ac:dyDescent="0.25">
      <c r="A74" s="172" t="s">
        <v>173</v>
      </c>
      <c r="B74" s="168">
        <f>+B49/B54</f>
        <v>0.49095622858077947</v>
      </c>
      <c r="C74" s="149" t="str">
        <f>IF(B74&lt;=2.25,"OK","REVISAR")</f>
        <v>OK</v>
      </c>
      <c r="D74" s="146">
        <f>+D49/D54</f>
        <v>0.33023854934046309</v>
      </c>
      <c r="E74" s="149" t="str">
        <f>IF(D74&lt;=2.25,"OK","REVISAR")</f>
        <v>OK</v>
      </c>
      <c r="F74" s="146">
        <f>+F49/F54</f>
        <v>0.89241770249169572</v>
      </c>
      <c r="G74" s="173" t="str">
        <f>IF(F74&lt;=2.25,"OK","REVISAR")</f>
        <v>OK</v>
      </c>
      <c r="H74" s="147"/>
      <c r="I74" s="148"/>
    </row>
    <row r="75" spans="1:15" x14ac:dyDescent="0.25">
      <c r="A75" s="172" t="s">
        <v>259</v>
      </c>
      <c r="B75" s="168">
        <f>+B13/B12</f>
        <v>8.3291096075777986</v>
      </c>
      <c r="C75" s="149" t="str">
        <f>IF(B75&gt;=4,"OK","REVISAR")</f>
        <v>OK</v>
      </c>
      <c r="D75" s="146">
        <f>+D13/D12</f>
        <v>26.490609476499824</v>
      </c>
      <c r="E75" s="149" t="str">
        <f>IF(D75&gt;=4,"OK","REVISAR")</f>
        <v>OK</v>
      </c>
      <c r="F75" s="146">
        <f>+F13/F12</f>
        <v>64.29677129333372</v>
      </c>
      <c r="G75" s="173" t="str">
        <f>IF(F75&gt;=4,"OK","REVISAR")</f>
        <v>OK</v>
      </c>
      <c r="H75" s="147"/>
      <c r="I75" s="148"/>
    </row>
    <row r="76" spans="1:15" x14ac:dyDescent="0.25">
      <c r="A76" s="175" t="s">
        <v>174</v>
      </c>
      <c r="B76" s="176">
        <f>+(B13+B9)/B12</f>
        <v>8.3291096075777986</v>
      </c>
      <c r="C76" s="177" t="str">
        <f>IF(B76&gt;=1,"OK","REVISAR")</f>
        <v>OK</v>
      </c>
      <c r="D76" s="178">
        <f>+(D13+D9)/D12</f>
        <v>26.490609476499824</v>
      </c>
      <c r="E76" s="177" t="str">
        <f>IF(D76&gt;=1,"OK","REVISAR")</f>
        <v>OK</v>
      </c>
      <c r="F76" s="178">
        <f>+(F13+F9)/F12</f>
        <v>67.472591691567317</v>
      </c>
      <c r="G76" s="179" t="str">
        <f>IF(F76&gt;=1,"OK","REVISAR")</f>
        <v>OK</v>
      </c>
      <c r="H76" s="147"/>
      <c r="I76" s="148"/>
    </row>
    <row r="77" spans="1:15" x14ac:dyDescent="0.25">
      <c r="A77" s="174" t="s">
        <v>175</v>
      </c>
      <c r="B77" s="169"/>
      <c r="C77" s="169"/>
      <c r="D77" s="170"/>
      <c r="E77" s="169"/>
      <c r="F77" s="170"/>
      <c r="G77" s="171"/>
      <c r="H77" s="147"/>
      <c r="I77" s="148"/>
    </row>
    <row r="78" spans="1:15" x14ac:dyDescent="0.25">
      <c r="A78" s="172" t="s">
        <v>176</v>
      </c>
      <c r="B78" s="168">
        <f>+B16/B4</f>
        <v>3.2763616620493034E-2</v>
      </c>
      <c r="C78" s="149" t="str">
        <f>IF(B78&gt;=0.06,"OK","REVISAR")</f>
        <v>REVISAR</v>
      </c>
      <c r="D78" s="146">
        <f>+D16/D4</f>
        <v>8.0486672122065381E-2</v>
      </c>
      <c r="E78" s="149" t="str">
        <f>IF(D78&gt;=0.06,"OK","REVISAR")</f>
        <v>OK</v>
      </c>
      <c r="F78" s="146">
        <f>+F16/F4</f>
        <v>5.0406421343961415E-2</v>
      </c>
      <c r="G78" s="173" t="str">
        <f>IF(F78&gt;=0.06,"OK","REVISAR")</f>
        <v>REVISAR</v>
      </c>
      <c r="H78" s="225"/>
      <c r="I78" s="148"/>
    </row>
    <row r="79" spans="1:15" x14ac:dyDescent="0.25">
      <c r="A79" s="172" t="s">
        <v>177</v>
      </c>
      <c r="B79" s="168">
        <f>+B16/B36</f>
        <v>0.12069180878164568</v>
      </c>
      <c r="C79" s="149" t="str">
        <f>IF(B79&gt;=0.05,"OK","REVISAR")</f>
        <v>OK</v>
      </c>
      <c r="D79" s="146">
        <f>+D16/D36</f>
        <v>0.22482561832300776</v>
      </c>
      <c r="E79" s="149" t="str">
        <f>IF(D79&gt;=0.05,"OK","REVISAR")</f>
        <v>OK</v>
      </c>
      <c r="F79" s="146">
        <f>+F16/F36</f>
        <v>0.11123423175472698</v>
      </c>
      <c r="G79" s="173" t="str">
        <f>IF(F79&gt;=0.05,"OK","REVISAR")</f>
        <v>OK</v>
      </c>
      <c r="H79" s="225"/>
      <c r="I79" s="148"/>
    </row>
    <row r="80" spans="1:15" x14ac:dyDescent="0.25">
      <c r="A80" s="175" t="s">
        <v>178</v>
      </c>
      <c r="B80" s="176">
        <f>+B16/B54</f>
        <v>0.17994620404167502</v>
      </c>
      <c r="C80" s="177" t="str">
        <f>IF(B80&gt;=0.12,"OK","REVISAR")</f>
        <v>OK</v>
      </c>
      <c r="D80" s="178">
        <f>+D16/D54</f>
        <v>0.29907170437257047</v>
      </c>
      <c r="E80" s="177" t="str">
        <f>IF(D80&gt;=0.12,"OK","REVISAR")</f>
        <v>OK</v>
      </c>
      <c r="F80" s="178">
        <f>+F16/F54</f>
        <v>0.21050162929570923</v>
      </c>
      <c r="G80" s="179" t="str">
        <f>IF(F80&gt;=0.12,"OK","REVISAR")</f>
        <v>OK</v>
      </c>
      <c r="H80" s="225"/>
      <c r="I80" s="148"/>
    </row>
    <row r="81" spans="1:10" x14ac:dyDescent="0.25">
      <c r="B81" s="150"/>
      <c r="C81" s="151"/>
      <c r="D81" s="152"/>
      <c r="E81" s="152"/>
      <c r="F81" s="152"/>
      <c r="H81" s="147"/>
      <c r="I81" s="148"/>
      <c r="J81" s="152"/>
    </row>
    <row r="82" spans="1:10" ht="13.2" x14ac:dyDescent="0.25">
      <c r="A82" s="219"/>
      <c r="B82" s="150"/>
      <c r="C82" s="151"/>
      <c r="D82" s="152"/>
      <c r="E82" s="152"/>
      <c r="F82" s="152"/>
      <c r="G82" s="152"/>
      <c r="H82" s="152"/>
      <c r="I82" s="152"/>
      <c r="J82" s="152"/>
    </row>
    <row r="83" spans="1:10" ht="13.2" x14ac:dyDescent="0.25">
      <c r="A83" s="219"/>
      <c r="C83" s="140"/>
    </row>
    <row r="84" spans="1:10" x14ac:dyDescent="0.25">
      <c r="C84" s="107"/>
    </row>
    <row r="86" spans="1:10" x14ac:dyDescent="0.25">
      <c r="B86" s="145" t="s">
        <v>38</v>
      </c>
    </row>
  </sheetData>
  <mergeCells count="13">
    <mergeCell ref="I2:J2"/>
    <mergeCell ref="I21:J21"/>
    <mergeCell ref="B62:C62"/>
    <mergeCell ref="D62:E62"/>
    <mergeCell ref="F62:G62"/>
    <mergeCell ref="A2:G2"/>
    <mergeCell ref="A21:G21"/>
    <mergeCell ref="B22:C22"/>
    <mergeCell ref="D22:E22"/>
    <mergeCell ref="F22:G22"/>
    <mergeCell ref="B3:C3"/>
    <mergeCell ref="D3:E3"/>
    <mergeCell ref="F3:G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40" workbookViewId="0">
      <selection activeCell="D5" sqref="D5"/>
    </sheetView>
  </sheetViews>
  <sheetFormatPr baseColWidth="10" defaultRowHeight="14.4" x14ac:dyDescent="0.3"/>
  <cols>
    <col min="1" max="1" width="5.44140625" customWidth="1"/>
    <col min="5" max="5" width="17" customWidth="1"/>
    <col min="6" max="6" width="15.5546875" customWidth="1"/>
  </cols>
  <sheetData>
    <row r="1" spans="1:7" ht="4.95" customHeight="1" x14ac:dyDescent="0.3">
      <c r="A1" s="56"/>
      <c r="B1" s="289" t="s">
        <v>223</v>
      </c>
      <c r="C1" s="289"/>
      <c r="D1" s="289"/>
    </row>
    <row r="2" spans="1:7" ht="53.4" customHeight="1" x14ac:dyDescent="0.3">
      <c r="A2" s="56"/>
      <c r="B2" s="289"/>
      <c r="C2" s="289"/>
      <c r="D2" s="289"/>
    </row>
    <row r="4" spans="1:7" x14ac:dyDescent="0.3">
      <c r="B4" s="192"/>
      <c r="C4" s="193" t="s">
        <v>206</v>
      </c>
      <c r="D4" s="194">
        <v>25000</v>
      </c>
      <c r="E4" s="57"/>
      <c r="F4" s="204" t="s">
        <v>105</v>
      </c>
      <c r="G4" s="205"/>
    </row>
    <row r="5" spans="1:7" x14ac:dyDescent="0.3">
      <c r="B5" s="192"/>
      <c r="C5" s="193" t="s">
        <v>207</v>
      </c>
      <c r="D5" s="195">
        <v>0.12</v>
      </c>
      <c r="E5" s="57"/>
      <c r="F5" s="198"/>
      <c r="G5" s="199"/>
    </row>
    <row r="6" spans="1:7" x14ac:dyDescent="0.3">
      <c r="B6" s="192"/>
      <c r="C6" s="193" t="s">
        <v>208</v>
      </c>
      <c r="D6" s="196">
        <v>3</v>
      </c>
      <c r="E6" s="57"/>
      <c r="F6" s="200" t="str">
        <f>IF(D7=12,"Pago Mensual",IF(D7=6,"Pago Bimensual",IF(D7=4,"Pago Trimestral",IF(D7=2,"Pago Semestral",IF(D7=1,"Pago Anual","")))))</f>
        <v>Pago Mensual</v>
      </c>
      <c r="G6" s="201">
        <f>PMT($D$5/$D$7,$D$6*$D$7,-$D$4)</f>
        <v>830.35774532127982</v>
      </c>
    </row>
    <row r="7" spans="1:7" x14ac:dyDescent="0.3">
      <c r="B7" s="192"/>
      <c r="C7" s="193" t="s">
        <v>209</v>
      </c>
      <c r="D7" s="196">
        <v>12</v>
      </c>
      <c r="E7" s="58" t="s">
        <v>38</v>
      </c>
      <c r="F7" s="202" t="s">
        <v>210</v>
      </c>
      <c r="G7" s="203">
        <f>+D6*D7</f>
        <v>36</v>
      </c>
    </row>
    <row r="8" spans="1:7" x14ac:dyDescent="0.3">
      <c r="B8" s="192"/>
      <c r="C8" s="193" t="s">
        <v>211</v>
      </c>
      <c r="D8" s="197">
        <v>42037</v>
      </c>
      <c r="E8" s="57"/>
      <c r="F8" s="57"/>
      <c r="G8" s="57"/>
    </row>
    <row r="9" spans="1:7" x14ac:dyDescent="0.3">
      <c r="B9" s="206" t="s">
        <v>212</v>
      </c>
      <c r="C9" s="206" t="s">
        <v>213</v>
      </c>
      <c r="D9" s="206" t="s">
        <v>214</v>
      </c>
      <c r="E9" s="206" t="s">
        <v>215</v>
      </c>
      <c r="F9" s="206" t="s">
        <v>216</v>
      </c>
      <c r="G9" s="206" t="s">
        <v>217</v>
      </c>
    </row>
    <row r="10" spans="1:7" ht="19.2" customHeight="1" x14ac:dyDescent="0.3">
      <c r="B10" s="57">
        <v>1</v>
      </c>
      <c r="C10" s="60">
        <f>IF(B10&lt;&gt;" ",IF($D$7=1,D8+360,IF($D$7=2,D8+180,IF($D$7=4,D8+90,IF($D$7=6,D8+60,IF($D$7=12,D8+30,""))))))</f>
        <v>42067</v>
      </c>
      <c r="D10" s="61">
        <f>IF(B10&lt;&gt;" ",$D$4*($D$5/$D$7)," ")</f>
        <v>250</v>
      </c>
      <c r="E10" s="61">
        <f>IF(B10&lt;&gt;" ",F10-D10," ")</f>
        <v>580.35774532127982</v>
      </c>
      <c r="F10" s="62">
        <f>IF(B10&lt;&gt;" ",PMT($D$5/$D$7,$D$6*$D$7,-$D$4)," ")</f>
        <v>830.35774532127982</v>
      </c>
      <c r="G10" s="61">
        <f>+D4-E10</f>
        <v>24419.642254678722</v>
      </c>
    </row>
    <row r="11" spans="1:7" x14ac:dyDescent="0.3">
      <c r="B11" s="57">
        <f t="shared" ref="B11:B42" si="0">IF(B10&lt;$G$7,IF($D$7=1,B10+1,IF($D$7=2,B10+1,IF($D$7=4,B10+1,IF($D$7=6,B10+1,IF($D$7=12,B10+1," ")))))," ")</f>
        <v>2</v>
      </c>
      <c r="C11" s="60">
        <f t="shared" ref="C11:C45" si="1">IF(B11&lt;&gt;" ",IF($D$7=1,C10+360,IF($D$7=2,C10+180,IF($D$7=4,C10+90,IF($D$7=6,C10+60,IF($D$7=12,C10+30," ")))))," ")</f>
        <v>42097</v>
      </c>
      <c r="D11" s="61">
        <f>IF(B11&lt;&gt;" ",G10*($D$5/$D$7)," ")</f>
        <v>244.19642254678723</v>
      </c>
      <c r="E11" s="61">
        <f t="shared" ref="E11:E45" si="2">IF(B11&lt;&gt;" ",F11-D11," ")</f>
        <v>586.16132277449265</v>
      </c>
      <c r="F11" s="62">
        <f t="shared" ref="F11:F26" si="3">IF(B11&lt;&gt;" ",PMT($D$5/$D$7,$D$6*$D$7,-$D$4)," ")</f>
        <v>830.35774532127982</v>
      </c>
      <c r="G11" s="61">
        <f>+G10-E11</f>
        <v>23833.480931904229</v>
      </c>
    </row>
    <row r="12" spans="1:7" x14ac:dyDescent="0.3">
      <c r="B12" s="57">
        <f t="shared" si="0"/>
        <v>3</v>
      </c>
      <c r="C12" s="60">
        <f t="shared" si="1"/>
        <v>42127</v>
      </c>
      <c r="D12" s="61">
        <f t="shared" ref="D12:D45" si="4">IF(B12&lt;&gt;" ",G11*($D$5/$D$7)," ")</f>
        <v>238.33480931904228</v>
      </c>
      <c r="E12" s="61">
        <f t="shared" si="2"/>
        <v>592.02293600223754</v>
      </c>
      <c r="F12" s="62">
        <f t="shared" si="3"/>
        <v>830.35774532127982</v>
      </c>
      <c r="G12" s="61">
        <f t="shared" ref="G12:G17" si="5">+G11-E12</f>
        <v>23241.45799590199</v>
      </c>
    </row>
    <row r="13" spans="1:7" x14ac:dyDescent="0.3">
      <c r="B13" s="57">
        <f t="shared" si="0"/>
        <v>4</v>
      </c>
      <c r="C13" s="60">
        <f t="shared" si="1"/>
        <v>42157</v>
      </c>
      <c r="D13" s="61">
        <f t="shared" si="4"/>
        <v>232.4145799590199</v>
      </c>
      <c r="E13" s="61">
        <f t="shared" si="2"/>
        <v>597.94316536225995</v>
      </c>
      <c r="F13" s="62">
        <f t="shared" si="3"/>
        <v>830.35774532127982</v>
      </c>
      <c r="G13" s="61">
        <f t="shared" si="5"/>
        <v>22643.514830539731</v>
      </c>
    </row>
    <row r="14" spans="1:7" x14ac:dyDescent="0.3">
      <c r="B14" s="57">
        <f t="shared" si="0"/>
        <v>5</v>
      </c>
      <c r="C14" s="60">
        <f>IF(B14&lt;&gt;" ",IF($D$7=1,C13+360,IF($D$7=2,C13+180,IF($D$7=4,C13+90,IF($D$7=6,C13+60,IF($D$7=12,C13+30," ")))))," ")</f>
        <v>42187</v>
      </c>
      <c r="D14" s="61">
        <f>IF(B14&lt;&gt;" ",G13*($D$5/$D$7)," ")</f>
        <v>226.43514830539732</v>
      </c>
      <c r="E14" s="61">
        <f t="shared" si="2"/>
        <v>603.9225970158825</v>
      </c>
      <c r="F14" s="62">
        <f t="shared" si="3"/>
        <v>830.35774532127982</v>
      </c>
      <c r="G14" s="61">
        <f>+G13-E14</f>
        <v>22039.592233523847</v>
      </c>
    </row>
    <row r="15" spans="1:7" x14ac:dyDescent="0.3">
      <c r="B15" s="57">
        <f t="shared" si="0"/>
        <v>6</v>
      </c>
      <c r="C15" s="60">
        <f t="shared" si="1"/>
        <v>42217</v>
      </c>
      <c r="D15" s="61">
        <f t="shared" si="4"/>
        <v>220.39592233523848</v>
      </c>
      <c r="E15" s="61">
        <f>IF(B15&lt;&gt;" ",F15-D15," ")</f>
        <v>609.9618229860414</v>
      </c>
      <c r="F15" s="62">
        <f t="shared" si="3"/>
        <v>830.35774532127982</v>
      </c>
      <c r="G15" s="61">
        <f t="shared" si="5"/>
        <v>21429.630410537804</v>
      </c>
    </row>
    <row r="16" spans="1:7" x14ac:dyDescent="0.3">
      <c r="B16" s="63">
        <f t="shared" si="0"/>
        <v>7</v>
      </c>
      <c r="C16" s="64">
        <f t="shared" si="1"/>
        <v>42247</v>
      </c>
      <c r="D16" s="65">
        <f t="shared" si="4"/>
        <v>214.29630410537806</v>
      </c>
      <c r="E16" s="65">
        <f t="shared" si="2"/>
        <v>616.06144121590182</v>
      </c>
      <c r="F16" s="66">
        <f t="shared" si="3"/>
        <v>830.35774532127982</v>
      </c>
      <c r="G16" s="65">
        <f t="shared" si="5"/>
        <v>20813.568969321903</v>
      </c>
    </row>
    <row r="17" spans="2:7" x14ac:dyDescent="0.3">
      <c r="B17" s="63">
        <f t="shared" si="0"/>
        <v>8</v>
      </c>
      <c r="C17" s="64">
        <f t="shared" si="1"/>
        <v>42277</v>
      </c>
      <c r="D17" s="65">
        <f t="shared" si="4"/>
        <v>208.13568969321904</v>
      </c>
      <c r="E17" s="65">
        <f t="shared" si="2"/>
        <v>622.22205562806084</v>
      </c>
      <c r="F17" s="66">
        <f t="shared" si="3"/>
        <v>830.35774532127982</v>
      </c>
      <c r="G17" s="65">
        <f t="shared" si="5"/>
        <v>20191.346913693844</v>
      </c>
    </row>
    <row r="18" spans="2:7" x14ac:dyDescent="0.3">
      <c r="B18" s="63">
        <f t="shared" si="0"/>
        <v>9</v>
      </c>
      <c r="C18" s="64">
        <f t="shared" si="1"/>
        <v>42307</v>
      </c>
      <c r="D18" s="65">
        <f t="shared" si="4"/>
        <v>201.91346913693843</v>
      </c>
      <c r="E18" s="65">
        <f t="shared" si="2"/>
        <v>628.44427618434133</v>
      </c>
      <c r="F18" s="66">
        <f t="shared" si="3"/>
        <v>830.35774532127982</v>
      </c>
      <c r="G18" s="65">
        <f t="shared" ref="G18:G45" si="6">IF(B18&lt;&gt;" ",G17-E18," ")</f>
        <v>19562.902637509502</v>
      </c>
    </row>
    <row r="19" spans="2:7" x14ac:dyDescent="0.3">
      <c r="B19" s="63">
        <f t="shared" si="0"/>
        <v>10</v>
      </c>
      <c r="C19" s="64">
        <f t="shared" si="1"/>
        <v>42337</v>
      </c>
      <c r="D19" s="65">
        <f t="shared" si="4"/>
        <v>195.62902637509501</v>
      </c>
      <c r="E19" s="65">
        <f t="shared" si="2"/>
        <v>634.72871894618481</v>
      </c>
      <c r="F19" s="66">
        <f t="shared" si="3"/>
        <v>830.35774532127982</v>
      </c>
      <c r="G19" s="67">
        <f t="shared" si="6"/>
        <v>18928.173918563316</v>
      </c>
    </row>
    <row r="20" spans="2:7" ht="14.4" customHeight="1" x14ac:dyDescent="0.3">
      <c r="B20" s="63">
        <f t="shared" si="0"/>
        <v>11</v>
      </c>
      <c r="C20" s="64">
        <f t="shared" si="1"/>
        <v>42367</v>
      </c>
      <c r="D20" s="65">
        <f t="shared" si="4"/>
        <v>189.28173918563317</v>
      </c>
      <c r="E20" s="65">
        <f t="shared" si="2"/>
        <v>641.07600613564659</v>
      </c>
      <c r="F20" s="66">
        <f t="shared" si="3"/>
        <v>830.35774532127982</v>
      </c>
      <c r="G20" s="65">
        <f t="shared" si="6"/>
        <v>18287.097912427671</v>
      </c>
    </row>
    <row r="21" spans="2:7" x14ac:dyDescent="0.3">
      <c r="B21" s="63">
        <f t="shared" si="0"/>
        <v>12</v>
      </c>
      <c r="C21" s="64">
        <f t="shared" si="1"/>
        <v>42397</v>
      </c>
      <c r="D21" s="65">
        <f t="shared" si="4"/>
        <v>182.87097912427672</v>
      </c>
      <c r="E21" s="65">
        <f t="shared" si="2"/>
        <v>647.48676619700313</v>
      </c>
      <c r="F21" s="66">
        <f t="shared" si="3"/>
        <v>830.35774532127982</v>
      </c>
      <c r="G21" s="65">
        <f t="shared" si="6"/>
        <v>17639.611146230669</v>
      </c>
    </row>
    <row r="22" spans="2:7" x14ac:dyDescent="0.3">
      <c r="B22" s="63">
        <f t="shared" si="0"/>
        <v>13</v>
      </c>
      <c r="C22" s="64">
        <f t="shared" si="1"/>
        <v>42427</v>
      </c>
      <c r="D22" s="65">
        <f t="shared" si="4"/>
        <v>176.39611146230669</v>
      </c>
      <c r="E22" s="65">
        <f t="shared" si="2"/>
        <v>653.96163385897307</v>
      </c>
      <c r="F22" s="66">
        <f t="shared" si="3"/>
        <v>830.35774532127982</v>
      </c>
      <c r="G22" s="65">
        <f t="shared" si="6"/>
        <v>16985.649512371696</v>
      </c>
    </row>
    <row r="23" spans="2:7" x14ac:dyDescent="0.3">
      <c r="B23" s="63">
        <f t="shared" si="0"/>
        <v>14</v>
      </c>
      <c r="C23" s="64">
        <f t="shared" si="1"/>
        <v>42457</v>
      </c>
      <c r="D23" s="65">
        <f t="shared" si="4"/>
        <v>169.85649512371697</v>
      </c>
      <c r="E23" s="65">
        <f t="shared" si="2"/>
        <v>660.50125019756285</v>
      </c>
      <c r="F23" s="66">
        <f t="shared" si="3"/>
        <v>830.35774532127982</v>
      </c>
      <c r="G23" s="65">
        <f t="shared" si="6"/>
        <v>16325.148262174132</v>
      </c>
    </row>
    <row r="24" spans="2:7" x14ac:dyDescent="0.3">
      <c r="B24" s="63">
        <f t="shared" si="0"/>
        <v>15</v>
      </c>
      <c r="C24" s="64">
        <f t="shared" si="1"/>
        <v>42487</v>
      </c>
      <c r="D24" s="65">
        <f t="shared" si="4"/>
        <v>163.25148262174133</v>
      </c>
      <c r="E24" s="65">
        <f t="shared" si="2"/>
        <v>667.10626269953855</v>
      </c>
      <c r="F24" s="66">
        <f t="shared" si="3"/>
        <v>830.35774532127982</v>
      </c>
      <c r="G24" s="65">
        <f t="shared" si="6"/>
        <v>15658.041999474593</v>
      </c>
    </row>
    <row r="25" spans="2:7" x14ac:dyDescent="0.3">
      <c r="B25" s="63">
        <f t="shared" si="0"/>
        <v>16</v>
      </c>
      <c r="C25" s="64">
        <f t="shared" si="1"/>
        <v>42517</v>
      </c>
      <c r="D25" s="65">
        <f t="shared" si="4"/>
        <v>156.58041999474594</v>
      </c>
      <c r="E25" s="65">
        <f t="shared" si="2"/>
        <v>673.77732532653386</v>
      </c>
      <c r="F25" s="66">
        <f t="shared" si="3"/>
        <v>830.35774532127982</v>
      </c>
      <c r="G25" s="65">
        <f t="shared" si="6"/>
        <v>14984.26467414806</v>
      </c>
    </row>
    <row r="26" spans="2:7" x14ac:dyDescent="0.3">
      <c r="B26" s="63">
        <f t="shared" si="0"/>
        <v>17</v>
      </c>
      <c r="C26" s="64">
        <f t="shared" si="1"/>
        <v>42547</v>
      </c>
      <c r="D26" s="65">
        <f t="shared" si="4"/>
        <v>149.84264674148059</v>
      </c>
      <c r="E26" s="65">
        <f t="shared" si="2"/>
        <v>680.5150985797992</v>
      </c>
      <c r="F26" s="66">
        <f t="shared" si="3"/>
        <v>830.35774532127982</v>
      </c>
      <c r="G26" s="65">
        <f t="shared" si="6"/>
        <v>14303.749575568261</v>
      </c>
    </row>
    <row r="27" spans="2:7" x14ac:dyDescent="0.3">
      <c r="B27" s="63">
        <f t="shared" si="0"/>
        <v>18</v>
      </c>
      <c r="C27" s="64">
        <f t="shared" si="1"/>
        <v>42577</v>
      </c>
      <c r="D27" s="65">
        <f t="shared" si="4"/>
        <v>143.03749575568261</v>
      </c>
      <c r="E27" s="65">
        <f t="shared" si="2"/>
        <v>687.32024956559724</v>
      </c>
      <c r="F27" s="66">
        <f>+F26</f>
        <v>830.35774532127982</v>
      </c>
      <c r="G27" s="65">
        <f>IF(B27&lt;&gt;" ",G26-E27," ")</f>
        <v>13616.429326002664</v>
      </c>
    </row>
    <row r="28" spans="2:7" x14ac:dyDescent="0.3">
      <c r="B28" s="63">
        <f t="shared" si="0"/>
        <v>19</v>
      </c>
      <c r="C28" s="64">
        <f t="shared" si="1"/>
        <v>42607</v>
      </c>
      <c r="D28" s="65">
        <f t="shared" si="4"/>
        <v>136.16429326002665</v>
      </c>
      <c r="E28" s="65">
        <f t="shared" si="2"/>
        <v>694.1934520612532</v>
      </c>
      <c r="F28" s="66">
        <f>+F27</f>
        <v>830.35774532127982</v>
      </c>
      <c r="G28" s="65">
        <f t="shared" si="6"/>
        <v>12922.23587394141</v>
      </c>
    </row>
    <row r="29" spans="2:7" x14ac:dyDescent="0.3">
      <c r="B29" s="63">
        <f t="shared" si="0"/>
        <v>20</v>
      </c>
      <c r="C29" s="64">
        <f t="shared" si="1"/>
        <v>42637</v>
      </c>
      <c r="D29" s="65">
        <f t="shared" si="4"/>
        <v>129.22235873941412</v>
      </c>
      <c r="E29" s="65">
        <f>IF(B29&lt;&gt;" ",F29-D29," ")</f>
        <v>701.13538658186576</v>
      </c>
      <c r="F29" s="66">
        <f t="shared" ref="F29:F45" si="7">+F28</f>
        <v>830.35774532127982</v>
      </c>
      <c r="G29" s="65">
        <f>IF(B29&lt;&gt;" ",G28-E29," ")</f>
        <v>12221.100487359545</v>
      </c>
    </row>
    <row r="30" spans="2:7" x14ac:dyDescent="0.3">
      <c r="B30" s="63">
        <f t="shared" si="0"/>
        <v>21</v>
      </c>
      <c r="C30" s="64">
        <f t="shared" si="1"/>
        <v>42667</v>
      </c>
      <c r="D30" s="65">
        <f t="shared" si="4"/>
        <v>122.21100487359546</v>
      </c>
      <c r="E30" s="65">
        <f>IF(B30&lt;&gt;" ",F30-D30," ")</f>
        <v>708.14674044768435</v>
      </c>
      <c r="F30" s="66">
        <f t="shared" si="7"/>
        <v>830.35774532127982</v>
      </c>
      <c r="G30" s="65">
        <f>IF(B30&lt;&gt;" ",G29-E30," ")</f>
        <v>11512.95374691186</v>
      </c>
    </row>
    <row r="31" spans="2:7" ht="13.2" customHeight="1" x14ac:dyDescent="0.3">
      <c r="B31" s="63">
        <f t="shared" si="0"/>
        <v>22</v>
      </c>
      <c r="C31" s="64">
        <f t="shared" si="1"/>
        <v>42697</v>
      </c>
      <c r="D31" s="65">
        <f t="shared" si="4"/>
        <v>115.1295374691186</v>
      </c>
      <c r="E31" s="65">
        <f>IF(B31&lt;&gt;" ",F31-D31," ")</f>
        <v>715.22820785216118</v>
      </c>
      <c r="F31" s="66">
        <f t="shared" si="7"/>
        <v>830.35774532127982</v>
      </c>
      <c r="G31" s="65">
        <f>IF(B31&lt;&gt;" ",G30-E31," ")</f>
        <v>10797.725539059698</v>
      </c>
    </row>
    <row r="32" spans="2:7" x14ac:dyDescent="0.3">
      <c r="B32" s="63">
        <f t="shared" si="0"/>
        <v>23</v>
      </c>
      <c r="C32" s="64">
        <f t="shared" si="1"/>
        <v>42727</v>
      </c>
      <c r="D32" s="65">
        <f t="shared" si="4"/>
        <v>107.97725539059698</v>
      </c>
      <c r="E32" s="65">
        <f t="shared" si="2"/>
        <v>722.38048993068287</v>
      </c>
      <c r="F32" s="66">
        <f t="shared" si="7"/>
        <v>830.35774532127982</v>
      </c>
      <c r="G32" s="65">
        <f t="shared" si="6"/>
        <v>10075.345049129015</v>
      </c>
    </row>
    <row r="33" spans="2:7" x14ac:dyDescent="0.3">
      <c r="B33" s="63">
        <f t="shared" si="0"/>
        <v>24</v>
      </c>
      <c r="C33" s="64">
        <f t="shared" si="1"/>
        <v>42757</v>
      </c>
      <c r="D33" s="65">
        <f t="shared" si="4"/>
        <v>100.75345049129015</v>
      </c>
      <c r="E33" s="65">
        <f t="shared" si="2"/>
        <v>729.60429482998961</v>
      </c>
      <c r="F33" s="66">
        <f t="shared" si="7"/>
        <v>830.35774532127982</v>
      </c>
      <c r="G33" s="65">
        <f t="shared" si="6"/>
        <v>9345.7407542990259</v>
      </c>
    </row>
    <row r="34" spans="2:7" ht="13.2" customHeight="1" x14ac:dyDescent="0.3">
      <c r="B34" s="63">
        <f t="shared" si="0"/>
        <v>25</v>
      </c>
      <c r="C34" s="64">
        <f t="shared" si="1"/>
        <v>42787</v>
      </c>
      <c r="D34" s="65">
        <f t="shared" si="4"/>
        <v>93.457407542990254</v>
      </c>
      <c r="E34" s="65">
        <f t="shared" si="2"/>
        <v>736.90033777828955</v>
      </c>
      <c r="F34" s="66">
        <f t="shared" si="7"/>
        <v>830.35774532127982</v>
      </c>
      <c r="G34" s="65">
        <f t="shared" si="6"/>
        <v>8608.8404165207357</v>
      </c>
    </row>
    <row r="35" spans="2:7" x14ac:dyDescent="0.3">
      <c r="B35" s="63">
        <f t="shared" si="0"/>
        <v>26</v>
      </c>
      <c r="C35" s="64">
        <f t="shared" si="1"/>
        <v>42817</v>
      </c>
      <c r="D35" s="65">
        <f t="shared" si="4"/>
        <v>86.088404165207365</v>
      </c>
      <c r="E35" s="65">
        <f t="shared" si="2"/>
        <v>744.26934115607241</v>
      </c>
      <c r="F35" s="66">
        <f t="shared" si="7"/>
        <v>830.35774532127982</v>
      </c>
      <c r="G35" s="65">
        <f t="shared" si="6"/>
        <v>7864.5710753646636</v>
      </c>
    </row>
    <row r="36" spans="2:7" x14ac:dyDescent="0.3">
      <c r="B36" s="63">
        <f t="shared" si="0"/>
        <v>27</v>
      </c>
      <c r="C36" s="64">
        <f t="shared" si="1"/>
        <v>42847</v>
      </c>
      <c r="D36" s="65">
        <f t="shared" si="4"/>
        <v>78.64571075364664</v>
      </c>
      <c r="E36" s="65">
        <f t="shared" si="2"/>
        <v>751.71203456763317</v>
      </c>
      <c r="F36" s="66">
        <f t="shared" si="7"/>
        <v>830.35774532127982</v>
      </c>
      <c r="G36" s="65">
        <f t="shared" si="6"/>
        <v>7112.8590407970305</v>
      </c>
    </row>
    <row r="37" spans="2:7" x14ac:dyDescent="0.3">
      <c r="B37" s="63">
        <f t="shared" si="0"/>
        <v>28</v>
      </c>
      <c r="C37" s="64">
        <f t="shared" si="1"/>
        <v>42877</v>
      </c>
      <c r="D37" s="65">
        <f t="shared" si="4"/>
        <v>71.128590407970307</v>
      </c>
      <c r="E37" s="65">
        <f t="shared" si="2"/>
        <v>759.22915491330946</v>
      </c>
      <c r="F37" s="66">
        <f t="shared" si="7"/>
        <v>830.35774532127982</v>
      </c>
      <c r="G37" s="65">
        <f t="shared" si="6"/>
        <v>6353.6298858837208</v>
      </c>
    </row>
    <row r="38" spans="2:7" x14ac:dyDescent="0.3">
      <c r="B38" s="63">
        <f t="shared" si="0"/>
        <v>29</v>
      </c>
      <c r="C38" s="64">
        <f t="shared" si="1"/>
        <v>42907</v>
      </c>
      <c r="D38" s="65">
        <f t="shared" si="4"/>
        <v>63.536298858837206</v>
      </c>
      <c r="E38" s="65">
        <f t="shared" si="2"/>
        <v>766.82144646244262</v>
      </c>
      <c r="F38" s="66">
        <f t="shared" si="7"/>
        <v>830.35774532127982</v>
      </c>
      <c r="G38" s="65">
        <f t="shared" si="6"/>
        <v>5586.8084394212783</v>
      </c>
    </row>
    <row r="39" spans="2:7" x14ac:dyDescent="0.3">
      <c r="B39" s="63">
        <f t="shared" si="0"/>
        <v>30</v>
      </c>
      <c r="C39" s="64">
        <f t="shared" si="1"/>
        <v>42937</v>
      </c>
      <c r="D39" s="65">
        <f t="shared" si="4"/>
        <v>55.868084394212786</v>
      </c>
      <c r="E39" s="65">
        <f t="shared" si="2"/>
        <v>774.48966092706701</v>
      </c>
      <c r="F39" s="66">
        <f t="shared" si="7"/>
        <v>830.35774532127982</v>
      </c>
      <c r="G39" s="65">
        <f t="shared" si="6"/>
        <v>4812.3187784942111</v>
      </c>
    </row>
    <row r="40" spans="2:7" x14ac:dyDescent="0.3">
      <c r="B40" s="63">
        <f t="shared" si="0"/>
        <v>31</v>
      </c>
      <c r="C40" s="64">
        <f t="shared" si="1"/>
        <v>42967</v>
      </c>
      <c r="D40" s="65">
        <f t="shared" si="4"/>
        <v>48.123187784942111</v>
      </c>
      <c r="E40" s="65">
        <f t="shared" si="2"/>
        <v>782.23455753633766</v>
      </c>
      <c r="F40" s="66">
        <f t="shared" si="7"/>
        <v>830.35774532127982</v>
      </c>
      <c r="G40" s="65">
        <f t="shared" si="6"/>
        <v>4030.0842209578732</v>
      </c>
    </row>
    <row r="41" spans="2:7" x14ac:dyDescent="0.3">
      <c r="B41" s="63">
        <f t="shared" si="0"/>
        <v>32</v>
      </c>
      <c r="C41" s="64">
        <f t="shared" si="1"/>
        <v>42997</v>
      </c>
      <c r="D41" s="65">
        <f t="shared" si="4"/>
        <v>40.300842209578732</v>
      </c>
      <c r="E41" s="65">
        <f t="shared" si="2"/>
        <v>790.0569031117011</v>
      </c>
      <c r="F41" s="66">
        <f t="shared" si="7"/>
        <v>830.35774532127982</v>
      </c>
      <c r="G41" s="65">
        <f t="shared" si="6"/>
        <v>3240.0273178461721</v>
      </c>
    </row>
    <row r="42" spans="2:7" x14ac:dyDescent="0.3">
      <c r="B42" s="63">
        <f t="shared" si="0"/>
        <v>33</v>
      </c>
      <c r="C42" s="59">
        <f t="shared" si="1"/>
        <v>43027</v>
      </c>
      <c r="D42" s="68">
        <f t="shared" si="4"/>
        <v>32.400273178461724</v>
      </c>
      <c r="E42" s="68">
        <f t="shared" si="2"/>
        <v>797.95747214281812</v>
      </c>
      <c r="F42" s="69">
        <f t="shared" si="7"/>
        <v>830.35774532127982</v>
      </c>
      <c r="G42" s="68">
        <f t="shared" si="6"/>
        <v>2442.0698457033541</v>
      </c>
    </row>
    <row r="43" spans="2:7" x14ac:dyDescent="0.3">
      <c r="B43" s="63">
        <f t="shared" ref="B43:B45" si="8">IF(B42&lt;$G$7,IF($D$7=1,B42+1,IF($D$7=2,B42+1,IF($D$7=4,B42+1,IF($D$7=6,B42+1,IF($D$7=12,B42+1," ")))))," ")</f>
        <v>34</v>
      </c>
      <c r="C43" s="64">
        <f t="shared" si="1"/>
        <v>43057</v>
      </c>
      <c r="D43" s="65">
        <f t="shared" si="4"/>
        <v>24.420698457033541</v>
      </c>
      <c r="E43" s="65">
        <f t="shared" si="2"/>
        <v>805.93704686424633</v>
      </c>
      <c r="F43" s="66">
        <f t="shared" si="7"/>
        <v>830.35774532127982</v>
      </c>
      <c r="G43" s="65">
        <f t="shared" si="6"/>
        <v>1636.1327988391076</v>
      </c>
    </row>
    <row r="44" spans="2:7" x14ac:dyDescent="0.3">
      <c r="B44" s="63">
        <f t="shared" si="8"/>
        <v>35</v>
      </c>
      <c r="C44" s="64">
        <f t="shared" si="1"/>
        <v>43087</v>
      </c>
      <c r="D44" s="65">
        <f t="shared" si="4"/>
        <v>16.361327988391075</v>
      </c>
      <c r="E44" s="65">
        <f t="shared" si="2"/>
        <v>813.99641733288877</v>
      </c>
      <c r="F44" s="66">
        <f t="shared" si="7"/>
        <v>830.35774532127982</v>
      </c>
      <c r="G44" s="65">
        <f t="shared" si="6"/>
        <v>822.13638150621887</v>
      </c>
    </row>
    <row r="45" spans="2:7" x14ac:dyDescent="0.3">
      <c r="B45" s="63">
        <f t="shared" si="8"/>
        <v>36</v>
      </c>
      <c r="C45" s="64">
        <f t="shared" si="1"/>
        <v>43117</v>
      </c>
      <c r="D45" s="65">
        <f t="shared" si="4"/>
        <v>8.2213638150621886</v>
      </c>
      <c r="E45" s="65">
        <f t="shared" si="2"/>
        <v>822.13638150621762</v>
      </c>
      <c r="F45" s="66">
        <f t="shared" si="7"/>
        <v>830.35774532127982</v>
      </c>
      <c r="G45" s="65">
        <f t="shared" si="6"/>
        <v>1.2505552149377763E-12</v>
      </c>
    </row>
    <row r="46" spans="2:7" x14ac:dyDescent="0.3">
      <c r="B46" s="63"/>
      <c r="C46" s="64"/>
      <c r="D46" s="65"/>
      <c r="E46" s="65"/>
      <c r="F46" s="66"/>
      <c r="G46" s="65"/>
    </row>
    <row r="47" spans="2:7" x14ac:dyDescent="0.3">
      <c r="B47" s="63"/>
      <c r="C47" s="64"/>
      <c r="D47" s="65"/>
      <c r="E47" s="65"/>
      <c r="F47" s="66"/>
      <c r="G47" s="65"/>
    </row>
    <row r="48" spans="2:7" x14ac:dyDescent="0.3">
      <c r="B48" s="63"/>
      <c r="C48" s="64"/>
      <c r="D48" s="65"/>
      <c r="E48" s="65"/>
      <c r="F48" s="66"/>
      <c r="G48" s="65"/>
    </row>
    <row r="49" spans="1:7" x14ac:dyDescent="0.3">
      <c r="B49" s="63"/>
      <c r="C49" s="64"/>
      <c r="D49" s="65"/>
      <c r="E49" s="65"/>
      <c r="F49" s="66"/>
      <c r="G49" s="65"/>
    </row>
    <row r="50" spans="1:7" x14ac:dyDescent="0.3">
      <c r="B50" s="63"/>
      <c r="C50" s="64"/>
      <c r="D50" s="65"/>
      <c r="E50" s="65"/>
      <c r="F50" s="66"/>
      <c r="G50" s="65"/>
    </row>
    <row r="51" spans="1:7" x14ac:dyDescent="0.3">
      <c r="B51" s="63"/>
      <c r="C51" s="64"/>
      <c r="D51" s="65"/>
      <c r="E51" s="65"/>
      <c r="F51" s="66"/>
      <c r="G51" s="65"/>
    </row>
    <row r="52" spans="1:7" x14ac:dyDescent="0.3">
      <c r="B52" s="63"/>
      <c r="C52" s="64"/>
      <c r="D52" s="65"/>
      <c r="E52" s="65"/>
      <c r="F52" s="66"/>
      <c r="G52" s="65"/>
    </row>
    <row r="53" spans="1:7" x14ac:dyDescent="0.3">
      <c r="A53" s="70"/>
      <c r="B53" s="63"/>
      <c r="C53" s="64"/>
      <c r="D53" s="65"/>
      <c r="E53" s="65"/>
      <c r="F53" s="66"/>
      <c r="G53" s="65"/>
    </row>
    <row r="54" spans="1:7" x14ac:dyDescent="0.3">
      <c r="B54" s="63"/>
      <c r="C54" s="64"/>
      <c r="D54" s="65"/>
      <c r="E54" s="65"/>
      <c r="F54" s="66"/>
      <c r="G54" s="65"/>
    </row>
    <row r="55" spans="1:7" x14ac:dyDescent="0.3">
      <c r="B55" s="63"/>
      <c r="C55" s="64"/>
      <c r="D55" s="65"/>
      <c r="E55" s="65"/>
      <c r="F55" s="66"/>
      <c r="G55" s="65"/>
    </row>
    <row r="56" spans="1:7" x14ac:dyDescent="0.3">
      <c r="B56" s="63"/>
      <c r="C56" s="64"/>
      <c r="D56" s="65"/>
      <c r="E56" s="65"/>
      <c r="F56" s="66"/>
      <c r="G56" s="65"/>
    </row>
    <row r="57" spans="1:7" x14ac:dyDescent="0.3">
      <c r="B57" s="63"/>
      <c r="C57" s="64"/>
      <c r="D57" s="65"/>
      <c r="E57" s="65"/>
      <c r="F57" s="66"/>
      <c r="G57" s="65"/>
    </row>
    <row r="58" spans="1:7" x14ac:dyDescent="0.3">
      <c r="B58" s="63"/>
      <c r="C58" s="64"/>
      <c r="D58" s="65"/>
      <c r="E58" s="65"/>
      <c r="F58" s="66"/>
      <c r="G58" s="65"/>
    </row>
    <row r="59" spans="1:7" x14ac:dyDescent="0.3">
      <c r="B59" s="63"/>
      <c r="C59" s="64"/>
      <c r="D59" s="65"/>
      <c r="E59" s="65"/>
      <c r="F59" s="66"/>
      <c r="G59" s="65"/>
    </row>
    <row r="60" spans="1:7" x14ac:dyDescent="0.3">
      <c r="B60" s="63"/>
      <c r="C60" s="64"/>
      <c r="D60" s="65"/>
      <c r="E60" s="65"/>
      <c r="F60" s="66"/>
      <c r="G60" s="65"/>
    </row>
    <row r="61" spans="1:7" x14ac:dyDescent="0.3">
      <c r="B61" s="63"/>
      <c r="C61" s="64"/>
      <c r="D61" s="65"/>
      <c r="E61" s="65"/>
      <c r="F61" s="66"/>
      <c r="G61" s="65"/>
    </row>
    <row r="62" spans="1:7" x14ac:dyDescent="0.3">
      <c r="B62" s="63"/>
      <c r="C62" s="64"/>
      <c r="D62" s="65"/>
      <c r="E62" s="65"/>
      <c r="F62" s="66"/>
      <c r="G62" s="65"/>
    </row>
    <row r="63" spans="1:7" x14ac:dyDescent="0.3">
      <c r="B63" s="63"/>
      <c r="C63" s="64"/>
      <c r="D63" s="65"/>
      <c r="E63" s="65"/>
      <c r="F63" s="66"/>
      <c r="G63" s="65"/>
    </row>
    <row r="64" spans="1:7" x14ac:dyDescent="0.3">
      <c r="B64" s="63"/>
      <c r="C64" s="64"/>
      <c r="D64" s="65"/>
      <c r="E64" s="65"/>
      <c r="F64" s="66"/>
      <c r="G64" s="65"/>
    </row>
    <row r="65" spans="2:7" x14ac:dyDescent="0.3">
      <c r="B65" s="63"/>
      <c r="C65" s="64"/>
      <c r="D65" s="65"/>
      <c r="E65" s="65"/>
      <c r="F65" s="66"/>
      <c r="G65" s="65"/>
    </row>
    <row r="66" spans="2:7" x14ac:dyDescent="0.3">
      <c r="B66" s="63"/>
      <c r="C66" s="64"/>
      <c r="D66" s="65"/>
      <c r="E66" s="65"/>
      <c r="F66" s="66"/>
      <c r="G66" s="65"/>
    </row>
    <row r="67" spans="2:7" x14ac:dyDescent="0.3">
      <c r="B67" s="63"/>
      <c r="C67" s="64"/>
      <c r="D67" s="65"/>
      <c r="E67" s="65"/>
      <c r="F67" s="66"/>
      <c r="G67" s="65"/>
    </row>
    <row r="68" spans="2:7" x14ac:dyDescent="0.3">
      <c r="B68" s="63"/>
      <c r="C68" s="64"/>
      <c r="D68" s="65"/>
      <c r="E68" s="65"/>
      <c r="F68" s="66"/>
      <c r="G68" s="65"/>
    </row>
    <row r="69" spans="2:7" x14ac:dyDescent="0.3">
      <c r="B69" s="63"/>
      <c r="C69" s="64"/>
      <c r="D69" s="65"/>
      <c r="E69" s="65"/>
      <c r="F69" s="66"/>
      <c r="G69" s="65"/>
    </row>
  </sheetData>
  <mergeCells count="1">
    <mergeCell ref="B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7"/>
  <sheetViews>
    <sheetView topLeftCell="F7" workbookViewId="0">
      <selection activeCell="I31" sqref="I31"/>
    </sheetView>
  </sheetViews>
  <sheetFormatPr baseColWidth="10" defaultRowHeight="14.4" x14ac:dyDescent="0.3"/>
  <cols>
    <col min="1" max="2" width="11.5546875" style="207"/>
  </cols>
  <sheetData>
    <row r="2" spans="1:2" x14ac:dyDescent="0.3">
      <c r="A2" s="207">
        <v>208.33333333333334</v>
      </c>
      <c r="B2" s="207">
        <v>598.34634651260376</v>
      </c>
    </row>
    <row r="3" spans="1:2" x14ac:dyDescent="0.3">
      <c r="A3" s="207">
        <v>203.34711377906163</v>
      </c>
      <c r="B3" s="207">
        <v>603.33256606687553</v>
      </c>
    </row>
    <row r="4" spans="1:2" x14ac:dyDescent="0.3">
      <c r="A4" s="207">
        <v>198.31934239517102</v>
      </c>
      <c r="B4" s="207">
        <v>608.36033745076611</v>
      </c>
    </row>
    <row r="5" spans="1:2" x14ac:dyDescent="0.3">
      <c r="A5" s="207">
        <v>193.24967291641462</v>
      </c>
      <c r="B5" s="207">
        <v>613.43000692952251</v>
      </c>
    </row>
    <row r="6" spans="1:2" x14ac:dyDescent="0.3">
      <c r="A6" s="207">
        <v>188.13775619200192</v>
      </c>
      <c r="B6" s="207">
        <v>618.54192365393521</v>
      </c>
    </row>
    <row r="7" spans="1:2" x14ac:dyDescent="0.3">
      <c r="A7" s="207">
        <v>182.98324016155249</v>
      </c>
      <c r="B7" s="207">
        <v>623.69643968438459</v>
      </c>
    </row>
    <row r="8" spans="1:2" x14ac:dyDescent="0.3">
      <c r="A8" s="207">
        <v>177.78576983084929</v>
      </c>
      <c r="B8" s="207">
        <v>628.89391001508784</v>
      </c>
    </row>
    <row r="9" spans="1:2" x14ac:dyDescent="0.3">
      <c r="A9" s="207">
        <v>172.5449872473902</v>
      </c>
      <c r="B9" s="207">
        <v>634.13469259854696</v>
      </c>
    </row>
    <row r="10" spans="1:2" x14ac:dyDescent="0.3">
      <c r="A10" s="207">
        <v>167.26053147573566</v>
      </c>
      <c r="B10" s="207">
        <v>639.41914837020147</v>
      </c>
    </row>
    <row r="11" spans="1:2" x14ac:dyDescent="0.3">
      <c r="A11" s="207">
        <v>161.93203857265064</v>
      </c>
      <c r="B11" s="207">
        <v>644.74764127328649</v>
      </c>
    </row>
    <row r="12" spans="1:2" x14ac:dyDescent="0.3">
      <c r="A12" s="207">
        <v>156.55914156203991</v>
      </c>
      <c r="B12" s="207">
        <v>650.12053828389719</v>
      </c>
    </row>
    <row r="13" spans="1:2" x14ac:dyDescent="0.3">
      <c r="A13" s="207">
        <v>151.14147040967413</v>
      </c>
      <c r="B13" s="207">
        <v>655.53820943626306</v>
      </c>
    </row>
    <row r="14" spans="1:2" x14ac:dyDescent="0.3">
      <c r="A14" s="207">
        <v>145.67865199770526</v>
      </c>
      <c r="B14" s="207">
        <v>661.00102784823184</v>
      </c>
    </row>
    <row r="15" spans="1:2" x14ac:dyDescent="0.3">
      <c r="A15" s="207">
        <v>140.17031009896996</v>
      </c>
      <c r="B15" s="207">
        <v>666.5093697469672</v>
      </c>
    </row>
    <row r="16" spans="1:2" x14ac:dyDescent="0.3">
      <c r="A16" s="207">
        <v>134.61606535107859</v>
      </c>
      <c r="B16" s="207">
        <v>672.06361449485848</v>
      </c>
    </row>
    <row r="17" spans="1:39" x14ac:dyDescent="0.3">
      <c r="A17" s="207">
        <v>129.01553523028809</v>
      </c>
      <c r="B17" s="207">
        <v>677.66414461564909</v>
      </c>
    </row>
    <row r="18" spans="1:39" x14ac:dyDescent="0.3">
      <c r="A18" s="207">
        <v>123.36833402515767</v>
      </c>
      <c r="B18" s="207">
        <v>683.31134582077948</v>
      </c>
    </row>
    <row r="19" spans="1:39" x14ac:dyDescent="0.3">
      <c r="A19" s="207">
        <v>117.67407280998451</v>
      </c>
      <c r="B19" s="207">
        <v>689.00560703595261</v>
      </c>
    </row>
    <row r="20" spans="1:39" x14ac:dyDescent="0.3">
      <c r="A20" s="207">
        <v>111.93235941801824</v>
      </c>
      <c r="B20" s="207">
        <v>694.74732042791891</v>
      </c>
    </row>
    <row r="21" spans="1:39" x14ac:dyDescent="0.3">
      <c r="A21" s="207">
        <v>106.14279841445224</v>
      </c>
      <c r="B21" s="207">
        <v>700.53688143148486</v>
      </c>
    </row>
    <row r="22" spans="1:39" x14ac:dyDescent="0.3">
      <c r="A22" s="207">
        <v>100.30499106918987</v>
      </c>
      <c r="B22" s="207">
        <v>706.37468877674723</v>
      </c>
    </row>
    <row r="23" spans="1:39" x14ac:dyDescent="0.3">
      <c r="A23" s="207">
        <v>94.418535329383644</v>
      </c>
      <c r="B23" s="207">
        <v>712.26114451655349</v>
      </c>
      <c r="D23">
        <v>1</v>
      </c>
      <c r="E23">
        <v>2</v>
      </c>
      <c r="F23">
        <v>3</v>
      </c>
      <c r="G23">
        <v>4</v>
      </c>
      <c r="H23">
        <v>5</v>
      </c>
      <c r="I23">
        <v>6</v>
      </c>
      <c r="J23">
        <v>7</v>
      </c>
      <c r="K23">
        <v>8</v>
      </c>
      <c r="L23">
        <v>9</v>
      </c>
      <c r="M23">
        <v>10</v>
      </c>
      <c r="N23">
        <v>11</v>
      </c>
      <c r="O23">
        <v>12</v>
      </c>
      <c r="P23">
        <v>13</v>
      </c>
      <c r="Q23">
        <v>14</v>
      </c>
      <c r="R23">
        <v>15</v>
      </c>
      <c r="S23">
        <v>16</v>
      </c>
      <c r="T23">
        <v>17</v>
      </c>
      <c r="U23">
        <v>18</v>
      </c>
      <c r="V23">
        <v>19</v>
      </c>
      <c r="W23">
        <v>20</v>
      </c>
      <c r="X23">
        <v>21</v>
      </c>
      <c r="Y23">
        <v>22</v>
      </c>
      <c r="Z23">
        <v>23</v>
      </c>
      <c r="AA23">
        <v>24</v>
      </c>
      <c r="AB23">
        <v>25</v>
      </c>
      <c r="AC23">
        <v>26</v>
      </c>
      <c r="AD23">
        <v>27</v>
      </c>
      <c r="AE23">
        <v>28</v>
      </c>
      <c r="AF23">
        <v>29</v>
      </c>
      <c r="AG23">
        <v>30</v>
      </c>
      <c r="AH23">
        <v>31</v>
      </c>
      <c r="AI23">
        <v>32</v>
      </c>
      <c r="AJ23">
        <v>33</v>
      </c>
      <c r="AK23">
        <v>34</v>
      </c>
      <c r="AL23">
        <v>35</v>
      </c>
      <c r="AM23">
        <v>36</v>
      </c>
    </row>
    <row r="24" spans="1:39" x14ac:dyDescent="0.3">
      <c r="A24" s="207">
        <v>88.483025791745703</v>
      </c>
      <c r="B24" s="207">
        <v>718.19665405419141</v>
      </c>
      <c r="D24" s="207">
        <v>208.33333333333334</v>
      </c>
      <c r="E24" s="207">
        <v>203.34711377906163</v>
      </c>
      <c r="F24" s="207">
        <v>198.31934239517102</v>
      </c>
      <c r="G24" s="207">
        <v>193.24967291641462</v>
      </c>
      <c r="H24" s="207">
        <v>188.13775619200192</v>
      </c>
      <c r="I24" s="207">
        <v>182.98324016155249</v>
      </c>
      <c r="J24" s="207">
        <v>177.78576983084929</v>
      </c>
      <c r="K24" s="207">
        <v>172.5449872473902</v>
      </c>
      <c r="L24" s="207">
        <v>167.26053147573566</v>
      </c>
      <c r="M24" s="207">
        <v>161.93203857265064</v>
      </c>
      <c r="N24" s="207">
        <v>156.55914156203991</v>
      </c>
      <c r="O24" s="207">
        <v>151.14147040967413</v>
      </c>
      <c r="P24" s="207">
        <v>145.67865199770526</v>
      </c>
      <c r="Q24" s="207">
        <v>140.17031009896996</v>
      </c>
      <c r="R24" s="207">
        <v>134.61606535107859</v>
      </c>
      <c r="S24" s="207">
        <v>129.01553523028809</v>
      </c>
      <c r="T24" s="207">
        <v>123.36833402515767</v>
      </c>
      <c r="U24" s="207">
        <v>117.67407280998451</v>
      </c>
      <c r="V24" s="207">
        <v>111.93235941801824</v>
      </c>
      <c r="W24" s="207">
        <v>106.14279841445224</v>
      </c>
      <c r="X24" s="207">
        <v>100.30499106918987</v>
      </c>
      <c r="Y24" s="207">
        <v>94.418535329383644</v>
      </c>
      <c r="Z24" s="207">
        <v>88.483025791745703</v>
      </c>
      <c r="AA24" s="207">
        <v>82.498053674627457</v>
      </c>
      <c r="AB24" s="207">
        <v>76.463206789866533</v>
      </c>
      <c r="AC24" s="207">
        <v>70.378069514399272</v>
      </c>
      <c r="AD24" s="207">
        <v>64.242222761636469</v>
      </c>
      <c r="AE24" s="207">
        <v>58.055243952600627</v>
      </c>
      <c r="AF24" s="207">
        <v>51.81670698682283</v>
      </c>
      <c r="AG24" s="207">
        <v>45.526182212996879</v>
      </c>
      <c r="AH24" s="207">
        <v>39.183236399389038</v>
      </c>
      <c r="AI24" s="207">
        <v>32.787432704001141</v>
      </c>
      <c r="AJ24" s="207">
        <v>26.338330644485005</v>
      </c>
      <c r="AK24" s="207">
        <v>19.83548606780624</v>
      </c>
      <c r="AL24" s="207">
        <v>13.27845111965515</v>
      </c>
      <c r="AM24" s="207">
        <v>6.6667742136027996</v>
      </c>
    </row>
    <row r="25" spans="1:39" x14ac:dyDescent="0.3">
      <c r="A25" s="207">
        <v>82.498053674627457</v>
      </c>
      <c r="B25" s="207">
        <v>724.18162617130963</v>
      </c>
      <c r="C25" t="s">
        <v>260</v>
      </c>
      <c r="D25" s="207">
        <v>598.34634651260376</v>
      </c>
      <c r="E25" s="207">
        <v>603.33256606687553</v>
      </c>
      <c r="F25" s="207">
        <v>608.36033745076611</v>
      </c>
      <c r="G25" s="207">
        <v>613.43000692952251</v>
      </c>
      <c r="H25" s="207">
        <v>618.54192365393521</v>
      </c>
      <c r="I25" s="207">
        <v>623.69643968438459</v>
      </c>
      <c r="J25" s="207">
        <v>628.89391001508784</v>
      </c>
      <c r="K25" s="207">
        <v>634.13469259854696</v>
      </c>
      <c r="L25" s="207">
        <v>639.41914837020147</v>
      </c>
      <c r="M25" s="207">
        <v>644.74764127328649</v>
      </c>
      <c r="N25" s="207">
        <v>650.12053828389719</v>
      </c>
      <c r="O25" s="207">
        <v>655.53820943626306</v>
      </c>
      <c r="P25" s="207">
        <v>661.00102784823184</v>
      </c>
      <c r="Q25" s="207">
        <v>666.5093697469672</v>
      </c>
      <c r="R25" s="207">
        <v>672.06361449485848</v>
      </c>
      <c r="S25" s="207">
        <v>677.66414461564909</v>
      </c>
      <c r="T25" s="207">
        <v>683.31134582077948</v>
      </c>
      <c r="U25" s="207">
        <v>689.00560703595261</v>
      </c>
      <c r="V25" s="207">
        <v>694.74732042791891</v>
      </c>
      <c r="W25" s="207">
        <v>700.53688143148486</v>
      </c>
      <c r="X25" s="207">
        <v>706.37468877674723</v>
      </c>
      <c r="Y25" s="207">
        <v>712.26114451655349</v>
      </c>
      <c r="Z25" s="207">
        <v>718.19665405419141</v>
      </c>
      <c r="AA25" s="207">
        <v>724.18162617130963</v>
      </c>
      <c r="AB25" s="207">
        <v>730.21647305607064</v>
      </c>
      <c r="AC25" s="207">
        <v>736.30161033153786</v>
      </c>
      <c r="AD25" s="207">
        <v>742.4374570843006</v>
      </c>
      <c r="AE25" s="207">
        <v>748.62443589333645</v>
      </c>
      <c r="AF25" s="207">
        <v>754.86297285911428</v>
      </c>
      <c r="AG25" s="207">
        <v>761.15349763294023</v>
      </c>
      <c r="AH25" s="207">
        <v>767.49644344654814</v>
      </c>
      <c r="AI25" s="207">
        <v>773.89224714193597</v>
      </c>
      <c r="AJ25" s="207">
        <v>780.34134920145209</v>
      </c>
      <c r="AK25" s="207">
        <v>786.84419377813094</v>
      </c>
      <c r="AL25" s="207">
        <v>793.40122872628194</v>
      </c>
      <c r="AM25" s="207">
        <v>800.01290563233431</v>
      </c>
    </row>
    <row r="26" spans="1:39" x14ac:dyDescent="0.3">
      <c r="A26" s="207">
        <v>76.463206789866533</v>
      </c>
      <c r="B26" s="207">
        <v>730.21647305607064</v>
      </c>
      <c r="D26" s="207">
        <f>+D24+D25</f>
        <v>806.67967984593713</v>
      </c>
      <c r="E26" s="207">
        <f t="shared" ref="E26:AM26" si="0">+E24+E25</f>
        <v>806.67967984593713</v>
      </c>
      <c r="F26" s="207">
        <f t="shared" si="0"/>
        <v>806.67967984593713</v>
      </c>
      <c r="G26" s="207">
        <f t="shared" si="0"/>
        <v>806.67967984593713</v>
      </c>
      <c r="H26" s="207">
        <f t="shared" si="0"/>
        <v>806.67967984593713</v>
      </c>
      <c r="I26" s="207">
        <f t="shared" si="0"/>
        <v>806.67967984593702</v>
      </c>
      <c r="J26" s="207">
        <f t="shared" si="0"/>
        <v>806.67967984593713</v>
      </c>
      <c r="K26" s="207">
        <f t="shared" si="0"/>
        <v>806.67967984593713</v>
      </c>
      <c r="L26" s="207">
        <f t="shared" si="0"/>
        <v>806.67967984593713</v>
      </c>
      <c r="M26" s="207">
        <f t="shared" si="0"/>
        <v>806.67967984593713</v>
      </c>
      <c r="N26" s="207">
        <f t="shared" si="0"/>
        <v>806.67967984593713</v>
      </c>
      <c r="O26" s="207">
        <f t="shared" si="0"/>
        <v>806.67967984593724</v>
      </c>
      <c r="P26" s="207">
        <f t="shared" si="0"/>
        <v>806.67967984593713</v>
      </c>
      <c r="Q26" s="207">
        <f t="shared" si="0"/>
        <v>806.67967984593713</v>
      </c>
      <c r="R26" s="207">
        <f t="shared" si="0"/>
        <v>806.67967984593702</v>
      </c>
      <c r="S26" s="207">
        <f t="shared" si="0"/>
        <v>806.67967984593724</v>
      </c>
      <c r="T26" s="207">
        <f t="shared" si="0"/>
        <v>806.67967984593713</v>
      </c>
      <c r="U26" s="207">
        <f t="shared" si="0"/>
        <v>806.67967984593713</v>
      </c>
      <c r="V26" s="207">
        <f t="shared" si="0"/>
        <v>806.67967984593713</v>
      </c>
      <c r="W26" s="207">
        <f t="shared" si="0"/>
        <v>806.67967984593713</v>
      </c>
      <c r="X26" s="207">
        <f t="shared" si="0"/>
        <v>806.67967984593713</v>
      </c>
      <c r="Y26" s="207">
        <f t="shared" si="0"/>
        <v>806.67967984593713</v>
      </c>
      <c r="Z26" s="207">
        <f t="shared" si="0"/>
        <v>806.67967984593713</v>
      </c>
      <c r="AA26" s="207">
        <f t="shared" si="0"/>
        <v>806.67967984593713</v>
      </c>
      <c r="AB26" s="207">
        <f t="shared" si="0"/>
        <v>806.67967984593713</v>
      </c>
      <c r="AC26" s="207">
        <f t="shared" si="0"/>
        <v>806.67967984593713</v>
      </c>
      <c r="AD26" s="207">
        <f t="shared" si="0"/>
        <v>806.67967984593702</v>
      </c>
      <c r="AE26" s="207">
        <f t="shared" si="0"/>
        <v>806.67967984593713</v>
      </c>
      <c r="AF26" s="207">
        <f t="shared" si="0"/>
        <v>806.67967984593713</v>
      </c>
      <c r="AG26" s="207">
        <f t="shared" si="0"/>
        <v>806.67967984593713</v>
      </c>
      <c r="AH26" s="207">
        <f t="shared" si="0"/>
        <v>806.67967984593713</v>
      </c>
      <c r="AI26" s="207">
        <f t="shared" si="0"/>
        <v>806.67967984593713</v>
      </c>
      <c r="AJ26" s="207">
        <f t="shared" si="0"/>
        <v>806.67967984593713</v>
      </c>
      <c r="AK26" s="207">
        <f t="shared" si="0"/>
        <v>806.67967984593713</v>
      </c>
      <c r="AL26" s="207">
        <f t="shared" si="0"/>
        <v>806.67967984593713</v>
      </c>
      <c r="AM26" s="207">
        <f t="shared" si="0"/>
        <v>806.67967984593713</v>
      </c>
    </row>
    <row r="27" spans="1:39" x14ac:dyDescent="0.3">
      <c r="A27" s="207">
        <v>70.378069514399272</v>
      </c>
      <c r="B27" s="207">
        <v>736.30161033153786</v>
      </c>
    </row>
    <row r="28" spans="1:39" x14ac:dyDescent="0.3">
      <c r="A28" s="207">
        <v>64.242222761636469</v>
      </c>
      <c r="B28" s="207">
        <v>742.4374570843006</v>
      </c>
    </row>
    <row r="29" spans="1:39" x14ac:dyDescent="0.3">
      <c r="A29" s="207">
        <v>58.055243952600627</v>
      </c>
      <c r="B29" s="207">
        <v>748.62443589333645</v>
      </c>
    </row>
    <row r="30" spans="1:39" x14ac:dyDescent="0.3">
      <c r="A30" s="207">
        <v>51.81670698682283</v>
      </c>
      <c r="B30" s="207">
        <v>754.86297285911428</v>
      </c>
    </row>
    <row r="31" spans="1:39" x14ac:dyDescent="0.3">
      <c r="A31" s="207">
        <v>45.526182212996879</v>
      </c>
      <c r="B31" s="207">
        <v>761.15349763294023</v>
      </c>
    </row>
    <row r="32" spans="1:39" x14ac:dyDescent="0.3">
      <c r="A32" s="207">
        <v>39.183236399389038</v>
      </c>
      <c r="B32" s="207">
        <v>767.49644344654814</v>
      </c>
    </row>
    <row r="33" spans="1:2" x14ac:dyDescent="0.3">
      <c r="A33" s="207">
        <v>32.787432704001141</v>
      </c>
      <c r="B33" s="207">
        <v>773.89224714193597</v>
      </c>
    </row>
    <row r="34" spans="1:2" x14ac:dyDescent="0.3">
      <c r="A34" s="207">
        <v>26.338330644485005</v>
      </c>
      <c r="B34" s="207">
        <v>780.34134920145209</v>
      </c>
    </row>
    <row r="35" spans="1:2" x14ac:dyDescent="0.3">
      <c r="A35" s="207">
        <v>19.83548606780624</v>
      </c>
      <c r="B35" s="207">
        <v>786.84419377813094</v>
      </c>
    </row>
    <row r="36" spans="1:2" x14ac:dyDescent="0.3">
      <c r="A36" s="207">
        <v>13.27845111965515</v>
      </c>
      <c r="B36" s="207">
        <v>793.40122872628194</v>
      </c>
    </row>
    <row r="37" spans="1:2" x14ac:dyDescent="0.3">
      <c r="A37" s="207">
        <v>6.6667742136027996</v>
      </c>
      <c r="B37" s="207">
        <v>800.01290563233431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opLeftCell="A25" zoomScale="80" zoomScaleNormal="80" workbookViewId="0">
      <selection activeCell="B9" sqref="B9"/>
    </sheetView>
  </sheetViews>
  <sheetFormatPr baseColWidth="10" defaultColWidth="11.44140625" defaultRowHeight="15.6" x14ac:dyDescent="0.3"/>
  <cols>
    <col min="1" max="1" width="33.21875" style="209" customWidth="1"/>
    <col min="2" max="2" width="11.6640625" style="209" bestFit="1" customWidth="1"/>
    <col min="3" max="12" width="11.6640625" style="209" customWidth="1"/>
    <col min="13" max="13" width="12.5546875" style="209" customWidth="1"/>
    <col min="14" max="14" width="14" style="210" bestFit="1" customWidth="1"/>
    <col min="15" max="16384" width="11.44140625" style="209"/>
  </cols>
  <sheetData>
    <row r="1" spans="1:17" ht="21" x14ac:dyDescent="0.4">
      <c r="A1" s="208" t="s">
        <v>224</v>
      </c>
    </row>
    <row r="2" spans="1:17" ht="21" x14ac:dyDescent="0.4">
      <c r="A2" s="208" t="s">
        <v>223</v>
      </c>
    </row>
    <row r="4" spans="1:17" ht="16.2" thickBot="1" x14ac:dyDescent="0.35"/>
    <row r="5" spans="1:17" ht="19.95" customHeight="1" thickBot="1" x14ac:dyDescent="0.4">
      <c r="B5" s="291">
        <v>2014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3"/>
    </row>
    <row r="6" spans="1:17" s="211" customFormat="1" ht="16.2" thickBot="1" x14ac:dyDescent="0.35">
      <c r="B6" s="212" t="s">
        <v>225</v>
      </c>
      <c r="C6" s="213" t="s">
        <v>226</v>
      </c>
      <c r="D6" s="213" t="s">
        <v>227</v>
      </c>
      <c r="E6" s="213" t="s">
        <v>228</v>
      </c>
      <c r="F6" s="213" t="s">
        <v>229</v>
      </c>
      <c r="G6" s="213" t="s">
        <v>230</v>
      </c>
      <c r="H6" s="213" t="s">
        <v>231</v>
      </c>
      <c r="I6" s="213" t="s">
        <v>232</v>
      </c>
      <c r="J6" s="213" t="s">
        <v>233</v>
      </c>
      <c r="K6" s="213" t="s">
        <v>234</v>
      </c>
      <c r="L6" s="213" t="s">
        <v>235</v>
      </c>
      <c r="M6" s="213" t="s">
        <v>236</v>
      </c>
      <c r="N6" s="214" t="s">
        <v>237</v>
      </c>
    </row>
    <row r="8" spans="1:17" x14ac:dyDescent="0.3">
      <c r="A8" s="215" t="s">
        <v>238</v>
      </c>
    </row>
    <row r="9" spans="1:17" x14ac:dyDescent="0.3">
      <c r="A9" s="209" t="s">
        <v>239</v>
      </c>
      <c r="B9" s="209">
        <v>54000</v>
      </c>
      <c r="C9" s="209">
        <f>+B9</f>
        <v>54000</v>
      </c>
      <c r="D9" s="209">
        <f t="shared" ref="D9:M10" si="0">+C9</f>
        <v>54000</v>
      </c>
      <c r="E9" s="209">
        <f t="shared" si="0"/>
        <v>54000</v>
      </c>
      <c r="F9" s="209">
        <f t="shared" si="0"/>
        <v>54000</v>
      </c>
      <c r="G9" s="209">
        <f t="shared" si="0"/>
        <v>54000</v>
      </c>
      <c r="H9" s="209">
        <f t="shared" si="0"/>
        <v>54000</v>
      </c>
      <c r="I9" s="209">
        <f t="shared" si="0"/>
        <v>54000</v>
      </c>
      <c r="J9" s="209">
        <f t="shared" si="0"/>
        <v>54000</v>
      </c>
      <c r="K9" s="209">
        <f t="shared" si="0"/>
        <v>54000</v>
      </c>
      <c r="L9" s="209">
        <f t="shared" si="0"/>
        <v>54000</v>
      </c>
      <c r="M9" s="209">
        <f t="shared" si="0"/>
        <v>54000</v>
      </c>
      <c r="N9" s="210">
        <f>SUM(B9:M9)</f>
        <v>648000</v>
      </c>
      <c r="O9" s="226">
        <v>623236.51</v>
      </c>
      <c r="P9" s="227">
        <f>+O9-N9</f>
        <v>-24763.489999999991</v>
      </c>
      <c r="Q9" s="228">
        <f>(N9/O9)-1</f>
        <v>3.9733695960783688E-2</v>
      </c>
    </row>
    <row r="10" spans="1:17" x14ac:dyDescent="0.3">
      <c r="A10" s="209" t="s">
        <v>240</v>
      </c>
      <c r="B10" s="209">
        <f>+B9*'EVALUACION FINANCIERA'!G5</f>
        <v>35189.655240191241</v>
      </c>
      <c r="C10" s="209">
        <f>+B10</f>
        <v>35189.655240191241</v>
      </c>
      <c r="D10" s="209">
        <f t="shared" si="0"/>
        <v>35189.655240191241</v>
      </c>
      <c r="E10" s="209">
        <f t="shared" si="0"/>
        <v>35189.655240191241</v>
      </c>
      <c r="F10" s="209">
        <f t="shared" si="0"/>
        <v>35189.655240191241</v>
      </c>
      <c r="G10" s="209">
        <f t="shared" si="0"/>
        <v>35189.655240191241</v>
      </c>
      <c r="H10" s="209">
        <f t="shared" si="0"/>
        <v>35189.655240191241</v>
      </c>
      <c r="I10" s="209">
        <f t="shared" si="0"/>
        <v>35189.655240191241</v>
      </c>
      <c r="J10" s="209">
        <f t="shared" si="0"/>
        <v>35189.655240191241</v>
      </c>
      <c r="K10" s="209">
        <f t="shared" si="0"/>
        <v>35189.655240191241</v>
      </c>
      <c r="L10" s="209">
        <f t="shared" si="0"/>
        <v>35189.655240191241</v>
      </c>
      <c r="M10" s="209">
        <f t="shared" si="0"/>
        <v>35189.655240191241</v>
      </c>
      <c r="N10" s="210">
        <f>SUM(B10:M10)</f>
        <v>422275.86288229498</v>
      </c>
      <c r="O10" s="229">
        <v>406138.48</v>
      </c>
      <c r="P10" s="227">
        <f>+O10-N10</f>
        <v>-16137.382882295002</v>
      </c>
      <c r="Q10" s="228">
        <f>(N10/O10)-1</f>
        <v>3.9733695960784132E-2</v>
      </c>
    </row>
    <row r="11" spans="1:17" s="216" customFormat="1" x14ac:dyDescent="0.3">
      <c r="A11" s="216" t="s">
        <v>241</v>
      </c>
      <c r="B11" s="216">
        <f t="shared" ref="B11:M11" si="1">+B9-B10</f>
        <v>18810.344759808759</v>
      </c>
      <c r="C11" s="216">
        <f t="shared" si="1"/>
        <v>18810.344759808759</v>
      </c>
      <c r="D11" s="216">
        <f t="shared" si="1"/>
        <v>18810.344759808759</v>
      </c>
      <c r="E11" s="216">
        <f t="shared" si="1"/>
        <v>18810.344759808759</v>
      </c>
      <c r="F11" s="216">
        <f t="shared" si="1"/>
        <v>18810.344759808759</v>
      </c>
      <c r="G11" s="216">
        <f t="shared" si="1"/>
        <v>18810.344759808759</v>
      </c>
      <c r="H11" s="216">
        <f t="shared" si="1"/>
        <v>18810.344759808759</v>
      </c>
      <c r="I11" s="216">
        <f t="shared" si="1"/>
        <v>18810.344759808759</v>
      </c>
      <c r="J11" s="216">
        <f t="shared" si="1"/>
        <v>18810.344759808759</v>
      </c>
      <c r="K11" s="216">
        <f t="shared" si="1"/>
        <v>18810.344759808759</v>
      </c>
      <c r="L11" s="216">
        <f t="shared" si="1"/>
        <v>18810.344759808759</v>
      </c>
      <c r="M11" s="216">
        <f t="shared" si="1"/>
        <v>18810.344759808759</v>
      </c>
      <c r="N11" s="217">
        <f>SUM(B11:M11)</f>
        <v>225724.13711770516</v>
      </c>
    </row>
    <row r="12" spans="1:17" s="216" customFormat="1" x14ac:dyDescent="0.3">
      <c r="N12" s="217"/>
    </row>
    <row r="13" spans="1:17" s="216" customFormat="1" x14ac:dyDescent="0.3">
      <c r="A13" s="216" t="s">
        <v>271</v>
      </c>
      <c r="B13" s="209"/>
      <c r="N13" s="217"/>
    </row>
    <row r="14" spans="1:17" s="216" customFormat="1" x14ac:dyDescent="0.3">
      <c r="A14" s="209" t="s">
        <v>273</v>
      </c>
      <c r="B14" s="209">
        <v>25000</v>
      </c>
      <c r="N14" s="217"/>
    </row>
    <row r="15" spans="1:17" s="216" customFormat="1" x14ac:dyDescent="0.3">
      <c r="A15" s="216" t="s">
        <v>275</v>
      </c>
      <c r="B15" s="209"/>
      <c r="N15" s="217"/>
    </row>
    <row r="16" spans="1:17" s="216" customFormat="1" x14ac:dyDescent="0.3">
      <c r="A16" s="235" t="s">
        <v>272</v>
      </c>
      <c r="B16" s="209">
        <f>+'TABLA DE AMORTIZACION'!D4</f>
        <v>25000</v>
      </c>
      <c r="N16" s="217"/>
    </row>
    <row r="17" spans="1:14" s="216" customFormat="1" ht="13.8" x14ac:dyDescent="0.3">
      <c r="A17" s="216" t="s">
        <v>274</v>
      </c>
      <c r="B17" s="216">
        <f>SUM(B14:B16)</f>
        <v>50000</v>
      </c>
      <c r="C17" s="216">
        <f t="shared" ref="C17:N17" si="2">SUM(C14:C16)</f>
        <v>0</v>
      </c>
      <c r="D17" s="216">
        <f t="shared" si="2"/>
        <v>0</v>
      </c>
      <c r="E17" s="216">
        <f t="shared" si="2"/>
        <v>0</v>
      </c>
      <c r="F17" s="216">
        <f t="shared" si="2"/>
        <v>0</v>
      </c>
      <c r="G17" s="216">
        <f t="shared" si="2"/>
        <v>0</v>
      </c>
      <c r="H17" s="216">
        <f t="shared" si="2"/>
        <v>0</v>
      </c>
      <c r="I17" s="216">
        <f t="shared" si="2"/>
        <v>0</v>
      </c>
      <c r="J17" s="216">
        <f t="shared" si="2"/>
        <v>0</v>
      </c>
      <c r="K17" s="216">
        <f t="shared" si="2"/>
        <v>0</v>
      </c>
      <c r="L17" s="216">
        <f t="shared" si="2"/>
        <v>0</v>
      </c>
      <c r="M17" s="216">
        <f t="shared" si="2"/>
        <v>0</v>
      </c>
      <c r="N17" s="216">
        <f t="shared" si="2"/>
        <v>0</v>
      </c>
    </row>
    <row r="18" spans="1:14" s="216" customFormat="1" x14ac:dyDescent="0.3">
      <c r="B18" s="209"/>
      <c r="N18" s="217"/>
    </row>
    <row r="19" spans="1:14" s="216" customFormat="1" ht="13.8" x14ac:dyDescent="0.3">
      <c r="A19" s="235" t="s">
        <v>270</v>
      </c>
      <c r="B19" s="235">
        <f t="shared" ref="B19:N19" si="3">+B11+B17</f>
        <v>68810.344759808766</v>
      </c>
      <c r="C19" s="235">
        <f t="shared" si="3"/>
        <v>18810.344759808759</v>
      </c>
      <c r="D19" s="235">
        <f t="shared" si="3"/>
        <v>18810.344759808759</v>
      </c>
      <c r="E19" s="235">
        <f t="shared" si="3"/>
        <v>18810.344759808759</v>
      </c>
      <c r="F19" s="235">
        <f t="shared" si="3"/>
        <v>18810.344759808759</v>
      </c>
      <c r="G19" s="235">
        <f t="shared" si="3"/>
        <v>18810.344759808759</v>
      </c>
      <c r="H19" s="235">
        <f t="shared" si="3"/>
        <v>18810.344759808759</v>
      </c>
      <c r="I19" s="235">
        <f t="shared" si="3"/>
        <v>18810.344759808759</v>
      </c>
      <c r="J19" s="235">
        <f t="shared" si="3"/>
        <v>18810.344759808759</v>
      </c>
      <c r="K19" s="235">
        <f t="shared" si="3"/>
        <v>18810.344759808759</v>
      </c>
      <c r="L19" s="235">
        <f t="shared" si="3"/>
        <v>18810.344759808759</v>
      </c>
      <c r="M19" s="235">
        <f t="shared" si="3"/>
        <v>18810.344759808759</v>
      </c>
      <c r="N19" s="216">
        <f t="shared" si="3"/>
        <v>225724.13711770516</v>
      </c>
    </row>
    <row r="20" spans="1:14" s="216" customFormat="1" ht="13.8" x14ac:dyDescent="0.3"/>
    <row r="21" spans="1:14" ht="17.399999999999999" x14ac:dyDescent="0.45">
      <c r="A21" s="218" t="s">
        <v>242</v>
      </c>
      <c r="N21" s="210">
        <f t="shared" ref="N21:N28" si="4">SUM(B21:M21)</f>
        <v>0</v>
      </c>
    </row>
    <row r="22" spans="1:14" x14ac:dyDescent="0.3">
      <c r="A22" s="216" t="s">
        <v>243</v>
      </c>
      <c r="N22" s="210">
        <f t="shared" si="4"/>
        <v>0</v>
      </c>
    </row>
    <row r="23" spans="1:14" x14ac:dyDescent="0.3">
      <c r="A23" s="209" t="s">
        <v>244</v>
      </c>
      <c r="B23" s="209">
        <v>4500</v>
      </c>
      <c r="C23" s="209">
        <f>+B23</f>
        <v>4500</v>
      </c>
      <c r="D23" s="209">
        <f t="shared" ref="D23:M23" si="5">+C23</f>
        <v>4500</v>
      </c>
      <c r="E23" s="209">
        <f t="shared" si="5"/>
        <v>4500</v>
      </c>
      <c r="F23" s="209">
        <f t="shared" si="5"/>
        <v>4500</v>
      </c>
      <c r="G23" s="209">
        <f t="shared" si="5"/>
        <v>4500</v>
      </c>
      <c r="H23" s="209">
        <f t="shared" si="5"/>
        <v>4500</v>
      </c>
      <c r="I23" s="209">
        <f t="shared" si="5"/>
        <v>4500</v>
      </c>
      <c r="J23" s="209">
        <f t="shared" si="5"/>
        <v>4500</v>
      </c>
      <c r="K23" s="209">
        <f t="shared" si="5"/>
        <v>4500</v>
      </c>
      <c r="L23" s="209">
        <f t="shared" si="5"/>
        <v>4500</v>
      </c>
      <c r="M23" s="209">
        <f t="shared" si="5"/>
        <v>4500</v>
      </c>
      <c r="N23" s="210">
        <f t="shared" si="4"/>
        <v>54000</v>
      </c>
    </row>
    <row r="24" spans="1:14" x14ac:dyDescent="0.3">
      <c r="A24" s="209" t="s">
        <v>245</v>
      </c>
      <c r="B24" s="209">
        <f t="shared" ref="B24:M24" si="6">+B9*0.05</f>
        <v>2700</v>
      </c>
      <c r="C24" s="209">
        <f t="shared" si="6"/>
        <v>2700</v>
      </c>
      <c r="D24" s="209">
        <f t="shared" si="6"/>
        <v>2700</v>
      </c>
      <c r="E24" s="209">
        <f t="shared" si="6"/>
        <v>2700</v>
      </c>
      <c r="F24" s="209">
        <f t="shared" si="6"/>
        <v>2700</v>
      </c>
      <c r="G24" s="209">
        <f t="shared" si="6"/>
        <v>2700</v>
      </c>
      <c r="H24" s="209">
        <f t="shared" si="6"/>
        <v>2700</v>
      </c>
      <c r="I24" s="209">
        <f t="shared" si="6"/>
        <v>2700</v>
      </c>
      <c r="J24" s="209">
        <f t="shared" si="6"/>
        <v>2700</v>
      </c>
      <c r="K24" s="209">
        <f t="shared" si="6"/>
        <v>2700</v>
      </c>
      <c r="L24" s="209">
        <f t="shared" si="6"/>
        <v>2700</v>
      </c>
      <c r="M24" s="209">
        <f t="shared" si="6"/>
        <v>2700</v>
      </c>
      <c r="N24" s="210">
        <f t="shared" si="4"/>
        <v>32400</v>
      </c>
    </row>
    <row r="25" spans="1:14" x14ac:dyDescent="0.3">
      <c r="A25" s="209" t="s">
        <v>246</v>
      </c>
      <c r="B25" s="209">
        <v>600</v>
      </c>
      <c r="C25" s="209">
        <v>600</v>
      </c>
      <c r="D25" s="209">
        <v>600</v>
      </c>
      <c r="E25" s="209">
        <v>600</v>
      </c>
      <c r="F25" s="209">
        <v>600</v>
      </c>
      <c r="G25" s="209">
        <v>600</v>
      </c>
      <c r="H25" s="209">
        <v>600</v>
      </c>
      <c r="I25" s="209">
        <v>600</v>
      </c>
      <c r="J25" s="209">
        <v>600</v>
      </c>
      <c r="K25" s="209">
        <v>600</v>
      </c>
      <c r="L25" s="209">
        <v>600</v>
      </c>
      <c r="M25" s="209">
        <v>600</v>
      </c>
      <c r="N25" s="210">
        <f t="shared" si="4"/>
        <v>7200</v>
      </c>
    </row>
    <row r="26" spans="1:14" x14ac:dyDescent="0.3">
      <c r="A26" s="209" t="s">
        <v>247</v>
      </c>
      <c r="B26" s="209">
        <v>114.74</v>
      </c>
      <c r="C26" s="209">
        <v>114.74</v>
      </c>
      <c r="D26" s="209">
        <v>114.74</v>
      </c>
      <c r="E26" s="209">
        <v>114.74</v>
      </c>
      <c r="F26" s="209">
        <v>114.74</v>
      </c>
      <c r="G26" s="209">
        <v>114.74</v>
      </c>
      <c r="H26" s="209">
        <v>114.74</v>
      </c>
      <c r="I26" s="209">
        <v>114.74</v>
      </c>
      <c r="J26" s="209">
        <v>114.74</v>
      </c>
      <c r="K26" s="209">
        <v>114.74</v>
      </c>
      <c r="L26" s="209">
        <v>114.74</v>
      </c>
      <c r="M26" s="209">
        <v>114.74</v>
      </c>
      <c r="N26" s="210">
        <f t="shared" si="4"/>
        <v>1376.8799999999999</v>
      </c>
    </row>
    <row r="27" spans="1:14" x14ac:dyDescent="0.3">
      <c r="A27" s="209" t="s">
        <v>248</v>
      </c>
      <c r="B27" s="209">
        <f>+B11*0.04</f>
        <v>752.41379039235039</v>
      </c>
      <c r="C27" s="209">
        <f t="shared" ref="C27:M27" si="7">+C11*0.04</f>
        <v>752.41379039235039</v>
      </c>
      <c r="D27" s="209">
        <f t="shared" si="7"/>
        <v>752.41379039235039</v>
      </c>
      <c r="E27" s="209">
        <f t="shared" si="7"/>
        <v>752.41379039235039</v>
      </c>
      <c r="F27" s="209">
        <f t="shared" si="7"/>
        <v>752.41379039235039</v>
      </c>
      <c r="G27" s="209">
        <f t="shared" si="7"/>
        <v>752.41379039235039</v>
      </c>
      <c r="H27" s="209">
        <f t="shared" si="7"/>
        <v>752.41379039235039</v>
      </c>
      <c r="I27" s="209">
        <f t="shared" si="7"/>
        <v>752.41379039235039</v>
      </c>
      <c r="J27" s="209">
        <f t="shared" si="7"/>
        <v>752.41379039235039</v>
      </c>
      <c r="K27" s="209">
        <f t="shared" si="7"/>
        <v>752.41379039235039</v>
      </c>
      <c r="L27" s="209">
        <f t="shared" si="7"/>
        <v>752.41379039235039</v>
      </c>
      <c r="M27" s="209">
        <f t="shared" si="7"/>
        <v>752.41379039235039</v>
      </c>
      <c r="N27" s="210">
        <f t="shared" si="4"/>
        <v>9028.9654847082038</v>
      </c>
    </row>
    <row r="28" spans="1:14" x14ac:dyDescent="0.3">
      <c r="A28" s="209" t="s">
        <v>249</v>
      </c>
      <c r="B28" s="209">
        <v>2600</v>
      </c>
      <c r="C28" s="209">
        <v>2600</v>
      </c>
      <c r="D28" s="209">
        <v>2600</v>
      </c>
      <c r="E28" s="209">
        <v>2600</v>
      </c>
      <c r="F28" s="209">
        <v>2600</v>
      </c>
      <c r="G28" s="209">
        <v>2600</v>
      </c>
      <c r="H28" s="209">
        <v>2600</v>
      </c>
      <c r="I28" s="209">
        <v>2600</v>
      </c>
      <c r="J28" s="209">
        <v>2600</v>
      </c>
      <c r="K28" s="209">
        <v>2600</v>
      </c>
      <c r="L28" s="209">
        <v>2600</v>
      </c>
      <c r="M28" s="209">
        <v>2600</v>
      </c>
      <c r="N28" s="210">
        <f t="shared" si="4"/>
        <v>31200</v>
      </c>
    </row>
    <row r="29" spans="1:14" s="216" customFormat="1" x14ac:dyDescent="0.3">
      <c r="A29" s="216" t="s">
        <v>250</v>
      </c>
      <c r="B29" s="216">
        <f t="shared" ref="B29:M29" si="8">SUM(B23:B28)</f>
        <v>11267.153790392351</v>
      </c>
      <c r="C29" s="216">
        <f t="shared" si="8"/>
        <v>11267.153790392351</v>
      </c>
      <c r="D29" s="216">
        <f t="shared" si="8"/>
        <v>11267.153790392351</v>
      </c>
      <c r="E29" s="216">
        <f t="shared" si="8"/>
        <v>11267.153790392351</v>
      </c>
      <c r="F29" s="216">
        <f t="shared" si="8"/>
        <v>11267.153790392351</v>
      </c>
      <c r="G29" s="216">
        <f t="shared" si="8"/>
        <v>11267.153790392351</v>
      </c>
      <c r="H29" s="216">
        <f t="shared" si="8"/>
        <v>11267.153790392351</v>
      </c>
      <c r="I29" s="216">
        <f t="shared" si="8"/>
        <v>11267.153790392351</v>
      </c>
      <c r="J29" s="216">
        <f t="shared" si="8"/>
        <v>11267.153790392351</v>
      </c>
      <c r="K29" s="216">
        <f t="shared" si="8"/>
        <v>11267.153790392351</v>
      </c>
      <c r="L29" s="216">
        <f>SUM(L23:L28)</f>
        <v>11267.153790392351</v>
      </c>
      <c r="M29" s="216">
        <f t="shared" si="8"/>
        <v>11267.153790392351</v>
      </c>
      <c r="N29" s="217">
        <f>SUM(N23:N28)</f>
        <v>135205.8454847082</v>
      </c>
    </row>
    <row r="30" spans="1:14" x14ac:dyDescent="0.3">
      <c r="N30" s="210">
        <f>SUM(B30:M30)</f>
        <v>0</v>
      </c>
    </row>
    <row r="31" spans="1:14" x14ac:dyDescent="0.3">
      <c r="A31" s="216" t="s">
        <v>251</v>
      </c>
      <c r="N31" s="210">
        <f>SUM(B31:M31)</f>
        <v>0</v>
      </c>
    </row>
    <row r="32" spans="1:14" x14ac:dyDescent="0.3">
      <c r="A32" s="209" t="s">
        <v>253</v>
      </c>
      <c r="B32" s="207">
        <f>+'TABLA DE AMORTIZACION'!D10</f>
        <v>250</v>
      </c>
      <c r="C32" s="250">
        <v>203.34711377906163</v>
      </c>
      <c r="D32" s="207">
        <v>198.31934239517102</v>
      </c>
      <c r="E32" s="207">
        <v>193.24967291641462</v>
      </c>
      <c r="F32" s="207">
        <v>188.13775619200192</v>
      </c>
      <c r="G32" s="207">
        <v>182.98324016155249</v>
      </c>
      <c r="H32" s="207">
        <v>177.78576983084929</v>
      </c>
      <c r="I32" s="207">
        <v>172.5449872473902</v>
      </c>
      <c r="J32" s="207">
        <v>167.26053147573566</v>
      </c>
      <c r="K32" s="207">
        <v>161.93203857265064</v>
      </c>
      <c r="L32" s="207">
        <v>156.55914156203991</v>
      </c>
      <c r="M32" s="207">
        <v>151.14147040967413</v>
      </c>
      <c r="N32" s="210">
        <f>SUM(B32:M32)</f>
        <v>2203.2610645425416</v>
      </c>
    </row>
    <row r="33" spans="1:14" x14ac:dyDescent="0.3">
      <c r="A33" s="209" t="s">
        <v>252</v>
      </c>
      <c r="B33" s="207">
        <f>+'TABLA DE AMORTIZACION'!$E$10</f>
        <v>580.35774532127982</v>
      </c>
      <c r="C33" s="207">
        <f>+'TABLA DE AMORTIZACION'!$E$11</f>
        <v>586.16132277449265</v>
      </c>
      <c r="D33" s="207">
        <f>+'TABLA DE AMORTIZACION'!$E$12</f>
        <v>592.02293600223754</v>
      </c>
      <c r="E33" s="207">
        <f>+'TABLA DE AMORTIZACION'!$E$13</f>
        <v>597.94316536225995</v>
      </c>
      <c r="F33" s="207">
        <f>+'TABLA DE AMORTIZACION'!$E$14</f>
        <v>603.9225970158825</v>
      </c>
      <c r="G33" s="207">
        <f>+'TABLA DE AMORTIZACION'!$E$15</f>
        <v>609.9618229860414</v>
      </c>
      <c r="H33" s="207">
        <f>+'TABLA DE AMORTIZACION'!$E$16</f>
        <v>616.06144121590182</v>
      </c>
      <c r="I33" s="207">
        <f>+'TABLA DE AMORTIZACION'!$E$17</f>
        <v>622.22205562806084</v>
      </c>
      <c r="J33" s="207">
        <f>+'TABLA DE AMORTIZACION'!$E$18</f>
        <v>628.44427618434133</v>
      </c>
      <c r="K33" s="207">
        <f>+'TABLA DE AMORTIZACION'!$E$19</f>
        <v>634.72871894618481</v>
      </c>
      <c r="L33" s="207">
        <f>+'TABLA DE AMORTIZACION'!$E$20</f>
        <v>641.07600613564659</v>
      </c>
      <c r="M33" s="207">
        <f>+'TABLA DE AMORTIZACION'!$E$21</f>
        <v>647.48676619700313</v>
      </c>
      <c r="N33" s="210">
        <f>SUM(B33:M33)</f>
        <v>7360.3888537693329</v>
      </c>
    </row>
    <row r="34" spans="1:14" x14ac:dyDescent="0.3">
      <c r="A34" s="209" t="s">
        <v>263</v>
      </c>
      <c r="B34" s="207">
        <v>1450</v>
      </c>
      <c r="C34" s="207">
        <f>+B34</f>
        <v>1450</v>
      </c>
      <c r="D34" s="207">
        <f t="shared" ref="D34:M34" si="9">+C34</f>
        <v>1450</v>
      </c>
      <c r="E34" s="207">
        <f t="shared" si="9"/>
        <v>1450</v>
      </c>
      <c r="F34" s="207">
        <f t="shared" si="9"/>
        <v>1450</v>
      </c>
      <c r="G34" s="207">
        <f t="shared" si="9"/>
        <v>1450</v>
      </c>
      <c r="H34" s="207">
        <f t="shared" si="9"/>
        <v>1450</v>
      </c>
      <c r="I34" s="207">
        <f t="shared" si="9"/>
        <v>1450</v>
      </c>
      <c r="J34" s="207">
        <f t="shared" si="9"/>
        <v>1450</v>
      </c>
      <c r="K34" s="207">
        <f t="shared" si="9"/>
        <v>1450</v>
      </c>
      <c r="L34" s="207">
        <f t="shared" si="9"/>
        <v>1450</v>
      </c>
      <c r="M34" s="207">
        <f t="shared" si="9"/>
        <v>1450</v>
      </c>
      <c r="N34" s="210">
        <f>SUM(B34:M34)</f>
        <v>17400</v>
      </c>
    </row>
    <row r="35" spans="1:14" ht="14.4" x14ac:dyDescent="0.3">
      <c r="A35" s="209" t="s">
        <v>276</v>
      </c>
      <c r="B35" s="207">
        <v>50000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</row>
    <row r="36" spans="1:14" ht="14.4" x14ac:dyDescent="0.3"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s="216" customFormat="1" ht="13.8" x14ac:dyDescent="0.3">
      <c r="A37" s="216" t="s">
        <v>254</v>
      </c>
      <c r="B37" s="216">
        <f>SUM(B32:B35)</f>
        <v>52280.357745321278</v>
      </c>
      <c r="C37" s="216">
        <f t="shared" ref="C37:N37" si="10">SUM(C32:C34)</f>
        <v>2239.508436553554</v>
      </c>
      <c r="D37" s="216">
        <f t="shared" si="10"/>
        <v>2240.3422783974083</v>
      </c>
      <c r="E37" s="216">
        <f t="shared" si="10"/>
        <v>2241.1928382786746</v>
      </c>
      <c r="F37" s="216">
        <f t="shared" si="10"/>
        <v>2242.0603532078844</v>
      </c>
      <c r="G37" s="216">
        <f t="shared" si="10"/>
        <v>2242.9450631475938</v>
      </c>
      <c r="H37" s="216">
        <f t="shared" si="10"/>
        <v>2243.847211046751</v>
      </c>
      <c r="I37" s="216">
        <f t="shared" si="10"/>
        <v>2244.7670428754509</v>
      </c>
      <c r="J37" s="216">
        <f t="shared" si="10"/>
        <v>2245.7048076600768</v>
      </c>
      <c r="K37" s="216">
        <f t="shared" si="10"/>
        <v>2246.6607575188355</v>
      </c>
      <c r="L37" s="216">
        <f t="shared" si="10"/>
        <v>2247.6351476976865</v>
      </c>
      <c r="M37" s="216">
        <f t="shared" si="10"/>
        <v>2248.6282366066771</v>
      </c>
      <c r="N37" s="216">
        <f t="shared" si="10"/>
        <v>26963.649918311872</v>
      </c>
    </row>
    <row r="38" spans="1:14" x14ac:dyDescent="0.3">
      <c r="N38" s="210">
        <f>SUM(B38:M38)</f>
        <v>0</v>
      </c>
    </row>
    <row r="39" spans="1:14" s="216" customFormat="1" x14ac:dyDescent="0.3">
      <c r="A39" s="235" t="s">
        <v>277</v>
      </c>
      <c r="B39" s="235">
        <f>+B37+B29</f>
        <v>63547.511535713631</v>
      </c>
      <c r="C39" s="235">
        <f t="shared" ref="C39:M39" si="11">+C37+C29</f>
        <v>13506.662226945904</v>
      </c>
      <c r="D39" s="235">
        <f t="shared" si="11"/>
        <v>13507.496068789758</v>
      </c>
      <c r="E39" s="235">
        <f t="shared" si="11"/>
        <v>13508.346628671025</v>
      </c>
      <c r="F39" s="235">
        <f t="shared" si="11"/>
        <v>13509.214143600235</v>
      </c>
      <c r="G39" s="235">
        <f t="shared" si="11"/>
        <v>13510.098853539945</v>
      </c>
      <c r="H39" s="235">
        <f t="shared" si="11"/>
        <v>13511.001001439101</v>
      </c>
      <c r="I39" s="235">
        <f t="shared" si="11"/>
        <v>13511.920833267803</v>
      </c>
      <c r="J39" s="235">
        <f t="shared" si="11"/>
        <v>13512.858598052428</v>
      </c>
      <c r="K39" s="235">
        <f t="shared" si="11"/>
        <v>13513.814547911186</v>
      </c>
      <c r="L39" s="235">
        <f t="shared" si="11"/>
        <v>13514.788938090038</v>
      </c>
      <c r="M39" s="235">
        <f t="shared" si="11"/>
        <v>13515.782026999028</v>
      </c>
      <c r="N39" s="210">
        <f>SUM(B39:M39)</f>
        <v>212169.49540302009</v>
      </c>
    </row>
    <row r="40" spans="1:14" s="234" customFormat="1" x14ac:dyDescent="0.3">
      <c r="A40" s="234" t="s">
        <v>255</v>
      </c>
      <c r="B40" s="234">
        <f>+B19-B39</f>
        <v>5262.8332240951349</v>
      </c>
      <c r="C40" s="234">
        <f t="shared" ref="C40:M40" si="12">+C19-C29-C37</f>
        <v>5303.6825328628538</v>
      </c>
      <c r="D40" s="234">
        <f t="shared" si="12"/>
        <v>5302.8486910189995</v>
      </c>
      <c r="E40" s="234">
        <f t="shared" si="12"/>
        <v>5301.9981311377333</v>
      </c>
      <c r="F40" s="234">
        <f t="shared" si="12"/>
        <v>5301.1306162085239</v>
      </c>
      <c r="G40" s="234">
        <f t="shared" si="12"/>
        <v>5300.245906268814</v>
      </c>
      <c r="H40" s="234">
        <f t="shared" si="12"/>
        <v>5299.3437583696568</v>
      </c>
      <c r="I40" s="234">
        <f t="shared" si="12"/>
        <v>5298.4239265409569</v>
      </c>
      <c r="J40" s="234">
        <f t="shared" si="12"/>
        <v>5297.4861617563311</v>
      </c>
      <c r="K40" s="234">
        <f t="shared" si="12"/>
        <v>5296.5302118975724</v>
      </c>
      <c r="L40" s="234">
        <f t="shared" si="12"/>
        <v>5295.5558217187208</v>
      </c>
      <c r="M40" s="234">
        <f t="shared" si="12"/>
        <v>5294.5627328097307</v>
      </c>
      <c r="N40" s="249">
        <f>SUM(B40:M40)</f>
        <v>63554.641714685029</v>
      </c>
    </row>
    <row r="41" spans="1:14" s="234" customFormat="1" x14ac:dyDescent="0.3">
      <c r="A41" s="234" t="s">
        <v>256</v>
      </c>
      <c r="B41" s="234">
        <v>12400.4</v>
      </c>
      <c r="C41" s="234">
        <f>+B42</f>
        <v>17663.233224095136</v>
      </c>
      <c r="D41" s="234">
        <f t="shared" ref="D41:M41" si="13">C42</f>
        <v>22966.915756957991</v>
      </c>
      <c r="E41" s="234">
        <f t="shared" si="13"/>
        <v>28269.764447976992</v>
      </c>
      <c r="F41" s="234">
        <f t="shared" si="13"/>
        <v>33571.762579114722</v>
      </c>
      <c r="G41" s="234">
        <f t="shared" si="13"/>
        <v>38872.893195323246</v>
      </c>
      <c r="H41" s="234">
        <f t="shared" si="13"/>
        <v>44173.13910159206</v>
      </c>
      <c r="I41" s="234">
        <f t="shared" si="13"/>
        <v>49472.482859961718</v>
      </c>
      <c r="J41" s="234">
        <f t="shared" si="13"/>
        <v>54770.906786502674</v>
      </c>
      <c r="K41" s="234">
        <f t="shared" si="13"/>
        <v>60068.392948259003</v>
      </c>
      <c r="L41" s="234">
        <f t="shared" si="13"/>
        <v>65364.923160156577</v>
      </c>
      <c r="M41" s="234">
        <f t="shared" si="13"/>
        <v>70660.478981875291</v>
      </c>
      <c r="N41" s="249"/>
    </row>
    <row r="42" spans="1:14" s="234" customFormat="1" x14ac:dyDescent="0.3">
      <c r="A42" s="234" t="s">
        <v>257</v>
      </c>
      <c r="B42" s="234">
        <f>+B40+B41</f>
        <v>17663.233224095136</v>
      </c>
      <c r="C42" s="234">
        <f>+B42+C40</f>
        <v>22966.915756957991</v>
      </c>
      <c r="D42" s="234">
        <f>+D40+D41</f>
        <v>28269.764447976992</v>
      </c>
      <c r="E42" s="234">
        <f t="shared" ref="E42:M42" si="14">+E40+E41</f>
        <v>33571.762579114722</v>
      </c>
      <c r="F42" s="234">
        <f t="shared" si="14"/>
        <v>38872.893195323246</v>
      </c>
      <c r="G42" s="234">
        <f t="shared" si="14"/>
        <v>44173.13910159206</v>
      </c>
      <c r="H42" s="234">
        <f t="shared" si="14"/>
        <v>49472.482859961718</v>
      </c>
      <c r="I42" s="234">
        <f t="shared" si="14"/>
        <v>54770.906786502674</v>
      </c>
      <c r="J42" s="234">
        <f t="shared" si="14"/>
        <v>60068.392948259003</v>
      </c>
      <c r="K42" s="234">
        <f t="shared" si="14"/>
        <v>65364.923160156577</v>
      </c>
      <c r="L42" s="234">
        <f t="shared" si="14"/>
        <v>70660.478981875291</v>
      </c>
      <c r="M42" s="234">
        <f t="shared" si="14"/>
        <v>75955.041714685023</v>
      </c>
      <c r="N42" s="249"/>
    </row>
    <row r="44" spans="1:14" ht="13.8" x14ac:dyDescent="0.3">
      <c r="N44" s="209"/>
    </row>
    <row r="45" spans="1:14" x14ac:dyDescent="0.3">
      <c r="N45" s="230">
        <f>N44*15%</f>
        <v>0</v>
      </c>
    </row>
    <row r="46" spans="1:14" x14ac:dyDescent="0.3">
      <c r="N46" s="230">
        <f>N44-N45</f>
        <v>0</v>
      </c>
    </row>
    <row r="47" spans="1:14" x14ac:dyDescent="0.3">
      <c r="N47" s="230">
        <f>N46*22%</f>
        <v>0</v>
      </c>
    </row>
    <row r="48" spans="1:14" x14ac:dyDescent="0.3">
      <c r="N48" s="230">
        <f>N47/12</f>
        <v>0</v>
      </c>
    </row>
    <row r="49" spans="1:5" x14ac:dyDescent="0.3">
      <c r="A49" s="290" t="s">
        <v>264</v>
      </c>
      <c r="B49" s="290"/>
      <c r="C49" s="290"/>
      <c r="D49" s="236">
        <f>+M41+N33-B41</f>
        <v>65620.467835644624</v>
      </c>
      <c r="E49" s="236"/>
    </row>
    <row r="50" spans="1:5" x14ac:dyDescent="0.3">
      <c r="A50" s="290" t="s">
        <v>265</v>
      </c>
      <c r="B50" s="290"/>
      <c r="C50" s="290"/>
      <c r="D50" s="236">
        <v>10000</v>
      </c>
      <c r="E50" s="236"/>
    </row>
    <row r="51" spans="1:5" x14ac:dyDescent="0.3">
      <c r="A51" s="236"/>
      <c r="B51" s="236"/>
      <c r="C51" s="236" t="s">
        <v>266</v>
      </c>
      <c r="D51" s="236">
        <f>+D49-D50</f>
        <v>55620.467835644624</v>
      </c>
      <c r="E51" s="236"/>
    </row>
    <row r="52" spans="1:5" x14ac:dyDescent="0.3">
      <c r="A52" s="236"/>
      <c r="B52" s="236"/>
      <c r="C52" s="236" t="s">
        <v>267</v>
      </c>
      <c r="D52" s="236">
        <f>+D51*0.15</f>
        <v>8343.0701753466928</v>
      </c>
      <c r="E52" s="236"/>
    </row>
    <row r="53" spans="1:5" x14ac:dyDescent="0.3">
      <c r="A53" s="236"/>
      <c r="B53" s="236"/>
      <c r="C53" s="236" t="s">
        <v>268</v>
      </c>
      <c r="D53" s="236">
        <f>+D51-D52</f>
        <v>47277.397660297931</v>
      </c>
      <c r="E53" s="236"/>
    </row>
    <row r="54" spans="1:5" x14ac:dyDescent="0.3">
      <c r="A54" s="236"/>
      <c r="B54" s="236"/>
      <c r="C54" s="236" t="s">
        <v>269</v>
      </c>
      <c r="D54" s="236">
        <f>+D53*0.22</f>
        <v>10401.027485265546</v>
      </c>
      <c r="E54" s="236"/>
    </row>
    <row r="55" spans="1:5" x14ac:dyDescent="0.3">
      <c r="A55" s="236"/>
      <c r="B55" s="236"/>
      <c r="C55" s="236"/>
      <c r="D55" s="236">
        <f>+D54+D52</f>
        <v>18744.097660612239</v>
      </c>
      <c r="E55" s="236"/>
    </row>
    <row r="56" spans="1:5" x14ac:dyDescent="0.3">
      <c r="A56" s="236"/>
      <c r="B56" s="236"/>
      <c r="C56" s="236"/>
      <c r="D56" s="236">
        <f>+D55/12</f>
        <v>1562.0081383843533</v>
      </c>
      <c r="E56" s="236"/>
    </row>
    <row r="57" spans="1:5" x14ac:dyDescent="0.3">
      <c r="A57" s="236"/>
      <c r="B57" s="236"/>
      <c r="C57" s="236"/>
      <c r="D57" s="236"/>
      <c r="E57" s="236"/>
    </row>
    <row r="58" spans="1:5" x14ac:dyDescent="0.3">
      <c r="A58" s="236"/>
      <c r="B58" s="236"/>
      <c r="C58" s="236"/>
      <c r="D58" s="236"/>
      <c r="E58" s="236"/>
    </row>
  </sheetData>
  <mergeCells count="3">
    <mergeCell ref="A50:C50"/>
    <mergeCell ref="B5:M5"/>
    <mergeCell ref="A49:C4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90" zoomScaleNormal="90" zoomScaleSheetLayoutView="80" workbookViewId="0">
      <selection activeCell="E41" sqref="E41"/>
    </sheetView>
  </sheetViews>
  <sheetFormatPr baseColWidth="10" defaultColWidth="11.44140625" defaultRowHeight="15.6" x14ac:dyDescent="0.3"/>
  <cols>
    <col min="1" max="1" width="31.6640625" style="209" customWidth="1"/>
    <col min="2" max="12" width="11.6640625" style="209" bestFit="1" customWidth="1"/>
    <col min="13" max="13" width="12.5546875" style="209" customWidth="1"/>
    <col min="14" max="14" width="14" style="210" bestFit="1" customWidth="1"/>
    <col min="15" max="16384" width="11.44140625" style="209"/>
  </cols>
  <sheetData>
    <row r="1" spans="1:14" ht="21" x14ac:dyDescent="0.4">
      <c r="A1" s="208" t="s">
        <v>224</v>
      </c>
    </row>
    <row r="2" spans="1:14" ht="21" x14ac:dyDescent="0.4">
      <c r="A2" s="208" t="s">
        <v>223</v>
      </c>
    </row>
    <row r="4" spans="1:14" ht="16.2" thickBot="1" x14ac:dyDescent="0.35"/>
    <row r="5" spans="1:14" ht="19.95" customHeight="1" thickBot="1" x14ac:dyDescent="0.4">
      <c r="B5" s="291">
        <v>2015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3"/>
    </row>
    <row r="6" spans="1:14" s="211" customFormat="1" ht="16.2" thickBot="1" x14ac:dyDescent="0.35">
      <c r="B6" s="212" t="s">
        <v>225</v>
      </c>
      <c r="C6" s="213" t="s">
        <v>226</v>
      </c>
      <c r="D6" s="213" t="s">
        <v>227</v>
      </c>
      <c r="E6" s="213" t="s">
        <v>228</v>
      </c>
      <c r="F6" s="213" t="s">
        <v>229</v>
      </c>
      <c r="G6" s="213" t="s">
        <v>230</v>
      </c>
      <c r="H6" s="213" t="s">
        <v>231</v>
      </c>
      <c r="I6" s="213" t="s">
        <v>232</v>
      </c>
      <c r="J6" s="213" t="s">
        <v>233</v>
      </c>
      <c r="K6" s="213" t="s">
        <v>234</v>
      </c>
      <c r="L6" s="213" t="s">
        <v>235</v>
      </c>
      <c r="M6" s="213" t="s">
        <v>236</v>
      </c>
      <c r="N6" s="214" t="s">
        <v>237</v>
      </c>
    </row>
    <row r="8" spans="1:14" x14ac:dyDescent="0.3">
      <c r="A8" s="215" t="s">
        <v>238</v>
      </c>
    </row>
    <row r="9" spans="1:14" x14ac:dyDescent="0.3">
      <c r="A9" s="209" t="s">
        <v>239</v>
      </c>
      <c r="B9" s="209">
        <f>+'FLUJO DE CAJA 2014'!B9*(1+'EVALUACION FINANCIERA'!O4)</f>
        <v>54791.003152462719</v>
      </c>
      <c r="C9" s="209">
        <f>+B9</f>
        <v>54791.003152462719</v>
      </c>
      <c r="D9" s="209">
        <f t="shared" ref="D9:M10" si="0">+C9</f>
        <v>54791.003152462719</v>
      </c>
      <c r="E9" s="209">
        <f t="shared" si="0"/>
        <v>54791.003152462719</v>
      </c>
      <c r="F9" s="209">
        <f t="shared" si="0"/>
        <v>54791.003152462719</v>
      </c>
      <c r="G9" s="209">
        <f t="shared" si="0"/>
        <v>54791.003152462719</v>
      </c>
      <c r="H9" s="209">
        <f t="shared" si="0"/>
        <v>54791.003152462719</v>
      </c>
      <c r="I9" s="209">
        <f t="shared" si="0"/>
        <v>54791.003152462719</v>
      </c>
      <c r="J9" s="209">
        <f t="shared" si="0"/>
        <v>54791.003152462719</v>
      </c>
      <c r="K9" s="209">
        <f t="shared" si="0"/>
        <v>54791.003152462719</v>
      </c>
      <c r="L9" s="209">
        <f t="shared" si="0"/>
        <v>54791.003152462719</v>
      </c>
      <c r="M9" s="209">
        <f t="shared" si="0"/>
        <v>54791.003152462719</v>
      </c>
      <c r="N9" s="210">
        <f>SUM(B9:M9)</f>
        <v>657492.03782955278</v>
      </c>
    </row>
    <row r="10" spans="1:14" x14ac:dyDescent="0.3">
      <c r="A10" s="209" t="s">
        <v>240</v>
      </c>
      <c r="B10" s="209">
        <f>+B9*'EVALUACION FINANCIERA'!G5</f>
        <v>35705.12057776656</v>
      </c>
      <c r="C10" s="209">
        <f>+B10</f>
        <v>35705.12057776656</v>
      </c>
      <c r="D10" s="209">
        <f t="shared" si="0"/>
        <v>35705.12057776656</v>
      </c>
      <c r="E10" s="209">
        <f t="shared" si="0"/>
        <v>35705.12057776656</v>
      </c>
      <c r="F10" s="209">
        <f t="shared" si="0"/>
        <v>35705.12057776656</v>
      </c>
      <c r="G10" s="209">
        <f t="shared" si="0"/>
        <v>35705.12057776656</v>
      </c>
      <c r="H10" s="209">
        <f t="shared" si="0"/>
        <v>35705.12057776656</v>
      </c>
      <c r="I10" s="209">
        <f t="shared" si="0"/>
        <v>35705.12057776656</v>
      </c>
      <c r="J10" s="209">
        <f t="shared" si="0"/>
        <v>35705.12057776656</v>
      </c>
      <c r="K10" s="209">
        <f t="shared" si="0"/>
        <v>35705.12057776656</v>
      </c>
      <c r="L10" s="209">
        <f t="shared" si="0"/>
        <v>35705.12057776656</v>
      </c>
      <c r="M10" s="209">
        <f t="shared" si="0"/>
        <v>35705.12057776656</v>
      </c>
      <c r="N10" s="210">
        <f>SUM(B10:M10)</f>
        <v>428461.44693319872</v>
      </c>
    </row>
    <row r="11" spans="1:14" s="216" customFormat="1" x14ac:dyDescent="0.3">
      <c r="A11" s="216" t="s">
        <v>241</v>
      </c>
      <c r="B11" s="216">
        <f>+B9-B10</f>
        <v>19085.882574696159</v>
      </c>
      <c r="C11" s="216">
        <f t="shared" ref="C11:M11" si="1">+C9-C10</f>
        <v>19085.882574696159</v>
      </c>
      <c r="D11" s="216">
        <f t="shared" si="1"/>
        <v>19085.882574696159</v>
      </c>
      <c r="E11" s="216">
        <f t="shared" si="1"/>
        <v>19085.882574696159</v>
      </c>
      <c r="F11" s="216">
        <f t="shared" si="1"/>
        <v>19085.882574696159</v>
      </c>
      <c r="G11" s="216">
        <f t="shared" si="1"/>
        <v>19085.882574696159</v>
      </c>
      <c r="H11" s="216">
        <f t="shared" si="1"/>
        <v>19085.882574696159</v>
      </c>
      <c r="I11" s="216">
        <f t="shared" si="1"/>
        <v>19085.882574696159</v>
      </c>
      <c r="J11" s="216">
        <f t="shared" si="1"/>
        <v>19085.882574696159</v>
      </c>
      <c r="K11" s="216">
        <f t="shared" si="1"/>
        <v>19085.882574696159</v>
      </c>
      <c r="L11" s="216">
        <f t="shared" si="1"/>
        <v>19085.882574696159</v>
      </c>
      <c r="M11" s="216">
        <f t="shared" si="1"/>
        <v>19085.882574696159</v>
      </c>
      <c r="N11" s="217">
        <f>SUM(B11:M11)</f>
        <v>229030.59089635385</v>
      </c>
    </row>
    <row r="12" spans="1:14" s="216" customFormat="1" x14ac:dyDescent="0.3">
      <c r="A12" s="235" t="s">
        <v>270</v>
      </c>
      <c r="B12" s="235">
        <f>SUM(B11)</f>
        <v>19085.882574696159</v>
      </c>
      <c r="C12" s="235">
        <f t="shared" ref="C12:M12" si="2">SUM(C11)</f>
        <v>19085.882574696159</v>
      </c>
      <c r="D12" s="235">
        <f t="shared" si="2"/>
        <v>19085.882574696159</v>
      </c>
      <c r="E12" s="235">
        <f t="shared" si="2"/>
        <v>19085.882574696159</v>
      </c>
      <c r="F12" s="235">
        <f t="shared" si="2"/>
        <v>19085.882574696159</v>
      </c>
      <c r="G12" s="235">
        <f t="shared" si="2"/>
        <v>19085.882574696159</v>
      </c>
      <c r="H12" s="235">
        <f t="shared" si="2"/>
        <v>19085.882574696159</v>
      </c>
      <c r="I12" s="235">
        <f t="shared" si="2"/>
        <v>19085.882574696159</v>
      </c>
      <c r="J12" s="235">
        <f t="shared" si="2"/>
        <v>19085.882574696159</v>
      </c>
      <c r="K12" s="235">
        <f t="shared" si="2"/>
        <v>19085.882574696159</v>
      </c>
      <c r="L12" s="235">
        <f t="shared" si="2"/>
        <v>19085.882574696159</v>
      </c>
      <c r="M12" s="235">
        <f t="shared" si="2"/>
        <v>19085.882574696159</v>
      </c>
      <c r="N12" s="237">
        <f>SUM(B12:M12)</f>
        <v>229030.59089635385</v>
      </c>
    </row>
    <row r="13" spans="1:14" s="216" customFormat="1" x14ac:dyDescent="0.3">
      <c r="N13" s="217"/>
    </row>
    <row r="14" spans="1:14" ht="17.399999999999999" x14ac:dyDescent="0.45">
      <c r="A14" s="218" t="s">
        <v>242</v>
      </c>
      <c r="N14" s="210">
        <f t="shared" ref="N14:N21" si="3">SUM(B14:M14)</f>
        <v>0</v>
      </c>
    </row>
    <row r="15" spans="1:14" x14ac:dyDescent="0.3">
      <c r="A15" s="216" t="s">
        <v>243</v>
      </c>
      <c r="N15" s="210">
        <f t="shared" si="3"/>
        <v>0</v>
      </c>
    </row>
    <row r="16" spans="1:14" x14ac:dyDescent="0.3">
      <c r="A16" s="209" t="s">
        <v>244</v>
      </c>
      <c r="B16" s="209">
        <f>+'FLUJO DE CAJA 2014'!B23*1.0145</f>
        <v>4565.25</v>
      </c>
      <c r="C16" s="209">
        <f>+B16</f>
        <v>4565.25</v>
      </c>
      <c r="D16" s="209">
        <f t="shared" ref="D16:M16" si="4">+C16</f>
        <v>4565.25</v>
      </c>
      <c r="E16" s="209">
        <f t="shared" si="4"/>
        <v>4565.25</v>
      </c>
      <c r="F16" s="209">
        <f t="shared" si="4"/>
        <v>4565.25</v>
      </c>
      <c r="G16" s="209">
        <f t="shared" si="4"/>
        <v>4565.25</v>
      </c>
      <c r="H16" s="209">
        <f t="shared" si="4"/>
        <v>4565.25</v>
      </c>
      <c r="I16" s="209">
        <f t="shared" si="4"/>
        <v>4565.25</v>
      </c>
      <c r="J16" s="209">
        <f t="shared" si="4"/>
        <v>4565.25</v>
      </c>
      <c r="K16" s="209">
        <f t="shared" si="4"/>
        <v>4565.25</v>
      </c>
      <c r="L16" s="209">
        <f t="shared" si="4"/>
        <v>4565.25</v>
      </c>
      <c r="M16" s="209">
        <f t="shared" si="4"/>
        <v>4565.25</v>
      </c>
      <c r="N16" s="210">
        <f t="shared" si="3"/>
        <v>54783</v>
      </c>
    </row>
    <row r="17" spans="1:14" x14ac:dyDescent="0.3">
      <c r="A17" s="209" t="s">
        <v>245</v>
      </c>
      <c r="B17" s="209">
        <f>+B9*0.05</f>
        <v>2739.5501576231363</v>
      </c>
      <c r="C17" s="209">
        <f t="shared" ref="C17:M17" si="5">+C9*0.05</f>
        <v>2739.5501576231363</v>
      </c>
      <c r="D17" s="209">
        <f t="shared" si="5"/>
        <v>2739.5501576231363</v>
      </c>
      <c r="E17" s="209">
        <f t="shared" si="5"/>
        <v>2739.5501576231363</v>
      </c>
      <c r="F17" s="209">
        <f t="shared" si="5"/>
        <v>2739.5501576231363</v>
      </c>
      <c r="G17" s="209">
        <f t="shared" si="5"/>
        <v>2739.5501576231363</v>
      </c>
      <c r="H17" s="209">
        <f t="shared" si="5"/>
        <v>2739.5501576231363</v>
      </c>
      <c r="I17" s="209">
        <f t="shared" si="5"/>
        <v>2739.5501576231363</v>
      </c>
      <c r="J17" s="209">
        <f t="shared" si="5"/>
        <v>2739.5501576231363</v>
      </c>
      <c r="K17" s="209">
        <f t="shared" si="5"/>
        <v>2739.5501576231363</v>
      </c>
      <c r="L17" s="209">
        <f t="shared" si="5"/>
        <v>2739.5501576231363</v>
      </c>
      <c r="M17" s="209">
        <f t="shared" si="5"/>
        <v>2739.5501576231363</v>
      </c>
      <c r="N17" s="210">
        <f t="shared" si="3"/>
        <v>32874.601891477636</v>
      </c>
    </row>
    <row r="18" spans="1:14" x14ac:dyDescent="0.3">
      <c r="A18" s="209" t="s">
        <v>246</v>
      </c>
      <c r="B18" s="209">
        <v>600</v>
      </c>
      <c r="C18" s="209">
        <v>600</v>
      </c>
      <c r="D18" s="209">
        <v>600</v>
      </c>
      <c r="E18" s="209">
        <v>600</v>
      </c>
      <c r="F18" s="209">
        <v>600</v>
      </c>
      <c r="G18" s="209">
        <v>600</v>
      </c>
      <c r="H18" s="209">
        <v>600</v>
      </c>
      <c r="I18" s="209">
        <v>600</v>
      </c>
      <c r="J18" s="209">
        <v>600</v>
      </c>
      <c r="K18" s="209">
        <v>600</v>
      </c>
      <c r="L18" s="209">
        <v>600</v>
      </c>
      <c r="M18" s="209">
        <v>600</v>
      </c>
      <c r="N18" s="210">
        <f t="shared" si="3"/>
        <v>7200</v>
      </c>
    </row>
    <row r="19" spans="1:14" x14ac:dyDescent="0.3">
      <c r="A19" s="209" t="s">
        <v>247</v>
      </c>
      <c r="B19" s="209">
        <v>114.74</v>
      </c>
      <c r="C19" s="209">
        <v>114.74</v>
      </c>
      <c r="D19" s="209">
        <v>114.74</v>
      </c>
      <c r="E19" s="209">
        <v>114.74</v>
      </c>
      <c r="F19" s="209">
        <v>114.74</v>
      </c>
      <c r="G19" s="209">
        <v>114.74</v>
      </c>
      <c r="H19" s="209">
        <v>114.74</v>
      </c>
      <c r="I19" s="209">
        <v>114.74</v>
      </c>
      <c r="J19" s="209">
        <v>114.74</v>
      </c>
      <c r="K19" s="209">
        <v>114.74</v>
      </c>
      <c r="L19" s="209">
        <v>114.74</v>
      </c>
      <c r="M19" s="209">
        <v>114.74</v>
      </c>
      <c r="N19" s="210">
        <f t="shared" si="3"/>
        <v>1376.8799999999999</v>
      </c>
    </row>
    <row r="20" spans="1:14" x14ac:dyDescent="0.3">
      <c r="A20" s="209" t="s">
        <v>248</v>
      </c>
      <c r="B20" s="209">
        <f>+B11*0.04</f>
        <v>763.4353029878464</v>
      </c>
      <c r="C20" s="209">
        <f>+C11*0.04</f>
        <v>763.4353029878464</v>
      </c>
      <c r="D20" s="209">
        <f t="shared" ref="D20:M20" si="6">+D11*0.04</f>
        <v>763.4353029878464</v>
      </c>
      <c r="E20" s="209">
        <f t="shared" si="6"/>
        <v>763.4353029878464</v>
      </c>
      <c r="F20" s="209">
        <f t="shared" si="6"/>
        <v>763.4353029878464</v>
      </c>
      <c r="G20" s="209">
        <f t="shared" si="6"/>
        <v>763.4353029878464</v>
      </c>
      <c r="H20" s="209">
        <f t="shared" si="6"/>
        <v>763.4353029878464</v>
      </c>
      <c r="I20" s="209">
        <f t="shared" si="6"/>
        <v>763.4353029878464</v>
      </c>
      <c r="J20" s="209">
        <f t="shared" si="6"/>
        <v>763.4353029878464</v>
      </c>
      <c r="K20" s="209">
        <f t="shared" si="6"/>
        <v>763.4353029878464</v>
      </c>
      <c r="L20" s="209">
        <f t="shared" si="6"/>
        <v>763.4353029878464</v>
      </c>
      <c r="M20" s="209">
        <f t="shared" si="6"/>
        <v>763.4353029878464</v>
      </c>
      <c r="N20" s="210">
        <f t="shared" si="3"/>
        <v>9161.2236358541577</v>
      </c>
    </row>
    <row r="21" spans="1:14" x14ac:dyDescent="0.3">
      <c r="A21" s="209" t="s">
        <v>249</v>
      </c>
      <c r="B21" s="209">
        <v>2800</v>
      </c>
      <c r="C21" s="209">
        <f>+B21</f>
        <v>2800</v>
      </c>
      <c r="D21" s="209">
        <f t="shared" ref="D21:M21" si="7">+C21</f>
        <v>2800</v>
      </c>
      <c r="E21" s="209">
        <f t="shared" si="7"/>
        <v>2800</v>
      </c>
      <c r="F21" s="209">
        <f t="shared" si="7"/>
        <v>2800</v>
      </c>
      <c r="G21" s="209">
        <f t="shared" si="7"/>
        <v>2800</v>
      </c>
      <c r="H21" s="209">
        <f t="shared" si="7"/>
        <v>2800</v>
      </c>
      <c r="I21" s="209">
        <f t="shared" si="7"/>
        <v>2800</v>
      </c>
      <c r="J21" s="209">
        <f t="shared" si="7"/>
        <v>2800</v>
      </c>
      <c r="K21" s="209">
        <f t="shared" si="7"/>
        <v>2800</v>
      </c>
      <c r="L21" s="209">
        <f t="shared" si="7"/>
        <v>2800</v>
      </c>
      <c r="M21" s="209">
        <f t="shared" si="7"/>
        <v>2800</v>
      </c>
      <c r="N21" s="210">
        <f t="shared" si="3"/>
        <v>33600</v>
      </c>
    </row>
    <row r="22" spans="1:14" s="216" customFormat="1" x14ac:dyDescent="0.3">
      <c r="A22" s="216" t="s">
        <v>250</v>
      </c>
      <c r="B22" s="216">
        <f t="shared" ref="B22:M22" si="8">SUM(B16:B21)</f>
        <v>11582.975460610982</v>
      </c>
      <c r="C22" s="216">
        <f t="shared" si="8"/>
        <v>11582.975460610982</v>
      </c>
      <c r="D22" s="216">
        <f t="shared" si="8"/>
        <v>11582.975460610982</v>
      </c>
      <c r="E22" s="216">
        <f t="shared" si="8"/>
        <v>11582.975460610982</v>
      </c>
      <c r="F22" s="216">
        <f t="shared" si="8"/>
        <v>11582.975460610982</v>
      </c>
      <c r="G22" s="216">
        <f t="shared" si="8"/>
        <v>11582.975460610982</v>
      </c>
      <c r="H22" s="216">
        <f t="shared" si="8"/>
        <v>11582.975460610982</v>
      </c>
      <c r="I22" s="216">
        <f t="shared" si="8"/>
        <v>11582.975460610982</v>
      </c>
      <c r="J22" s="216">
        <f t="shared" si="8"/>
        <v>11582.975460610982</v>
      </c>
      <c r="K22" s="216">
        <f t="shared" si="8"/>
        <v>11582.975460610982</v>
      </c>
      <c r="L22" s="216">
        <f t="shared" si="8"/>
        <v>11582.975460610982</v>
      </c>
      <c r="M22" s="216">
        <f t="shared" si="8"/>
        <v>11582.975460610982</v>
      </c>
      <c r="N22" s="217">
        <f>SUM(N16:N21)</f>
        <v>138995.7055273318</v>
      </c>
    </row>
    <row r="23" spans="1:14" x14ac:dyDescent="0.3">
      <c r="N23" s="210">
        <f>SUM(B23:M23)</f>
        <v>0</v>
      </c>
    </row>
    <row r="24" spans="1:14" x14ac:dyDescent="0.3">
      <c r="A24" s="216" t="s">
        <v>251</v>
      </c>
      <c r="N24" s="210">
        <f>SUM(B24:M24)</f>
        <v>0</v>
      </c>
    </row>
    <row r="25" spans="1:14" ht="14.4" x14ac:dyDescent="0.3">
      <c r="A25" s="209" t="s">
        <v>253</v>
      </c>
      <c r="B25" s="207">
        <v>145.67865199770526</v>
      </c>
      <c r="C25" s="207">
        <v>140.17031009896996</v>
      </c>
      <c r="D25" s="207">
        <v>134.61606535107859</v>
      </c>
      <c r="E25" s="207">
        <v>129.01553523028809</v>
      </c>
      <c r="F25" s="207">
        <v>123.36833402515767</v>
      </c>
      <c r="G25" s="207">
        <v>117.67407280998451</v>
      </c>
      <c r="H25" s="207">
        <v>111.93235941801824</v>
      </c>
      <c r="I25" s="207">
        <v>106.14279841445224</v>
      </c>
      <c r="J25" s="207">
        <v>100.30499106918987</v>
      </c>
      <c r="K25" s="207">
        <v>94.418535329383644</v>
      </c>
      <c r="L25" s="207">
        <v>88.483025791745703</v>
      </c>
      <c r="M25" s="207">
        <v>82.498053674627457</v>
      </c>
      <c r="N25" s="209">
        <f t="shared" ref="N25:N27" si="9">SUM(B25:M25)</f>
        <v>1374.3027332106012</v>
      </c>
    </row>
    <row r="26" spans="1:14" ht="14.4" x14ac:dyDescent="0.3">
      <c r="A26" s="209" t="s">
        <v>252</v>
      </c>
      <c r="B26" s="207">
        <v>661.00102784823184</v>
      </c>
      <c r="C26" s="207">
        <v>666.5093697469672</v>
      </c>
      <c r="D26" s="207">
        <v>672.06361449485848</v>
      </c>
      <c r="E26" s="207">
        <v>677.66414461564909</v>
      </c>
      <c r="F26" s="207">
        <v>683.31134582077948</v>
      </c>
      <c r="G26" s="207">
        <v>689.00560703595261</v>
      </c>
      <c r="H26" s="207">
        <v>694.74732042791891</v>
      </c>
      <c r="I26" s="207">
        <v>700.53688143148486</v>
      </c>
      <c r="J26" s="207">
        <v>706.37468877674723</v>
      </c>
      <c r="K26" s="207">
        <v>712.26114451655349</v>
      </c>
      <c r="L26" s="207">
        <v>718.19665405419141</v>
      </c>
      <c r="M26" s="207">
        <v>724.18162617130963</v>
      </c>
      <c r="N26" s="209">
        <f t="shared" si="9"/>
        <v>8305.8534249406439</v>
      </c>
    </row>
    <row r="27" spans="1:14" ht="14.4" x14ac:dyDescent="0.3">
      <c r="A27" s="209" t="s">
        <v>263</v>
      </c>
      <c r="B27" s="207">
        <v>1562</v>
      </c>
      <c r="C27" s="207">
        <f>+B27</f>
        <v>1562</v>
      </c>
      <c r="D27" s="207">
        <f t="shared" ref="D27:M27" si="10">+C27</f>
        <v>1562</v>
      </c>
      <c r="E27" s="207">
        <f t="shared" si="10"/>
        <v>1562</v>
      </c>
      <c r="F27" s="207">
        <f t="shared" si="10"/>
        <v>1562</v>
      </c>
      <c r="G27" s="207">
        <f t="shared" si="10"/>
        <v>1562</v>
      </c>
      <c r="H27" s="207">
        <f t="shared" si="10"/>
        <v>1562</v>
      </c>
      <c r="I27" s="207">
        <f t="shared" si="10"/>
        <v>1562</v>
      </c>
      <c r="J27" s="207">
        <f t="shared" si="10"/>
        <v>1562</v>
      </c>
      <c r="K27" s="207">
        <f t="shared" si="10"/>
        <v>1562</v>
      </c>
      <c r="L27" s="207">
        <f t="shared" si="10"/>
        <v>1562</v>
      </c>
      <c r="M27" s="207">
        <f t="shared" si="10"/>
        <v>1562</v>
      </c>
      <c r="N27" s="209">
        <f t="shared" si="9"/>
        <v>18744</v>
      </c>
    </row>
    <row r="28" spans="1:14" s="216" customFormat="1" ht="13.8" x14ac:dyDescent="0.3">
      <c r="A28" s="216" t="s">
        <v>254</v>
      </c>
      <c r="B28" s="216">
        <f>SUM(B25:B27)</f>
        <v>2368.6796798459372</v>
      </c>
      <c r="C28" s="216">
        <f t="shared" ref="C28:M28" si="11">SUM(C25:C27)</f>
        <v>2368.6796798459372</v>
      </c>
      <c r="D28" s="216">
        <f t="shared" si="11"/>
        <v>2368.6796798459372</v>
      </c>
      <c r="E28" s="216">
        <f t="shared" si="11"/>
        <v>2368.6796798459372</v>
      </c>
      <c r="F28" s="216">
        <f t="shared" si="11"/>
        <v>2368.6796798459372</v>
      </c>
      <c r="G28" s="216">
        <f t="shared" si="11"/>
        <v>2368.6796798459372</v>
      </c>
      <c r="H28" s="216">
        <f t="shared" si="11"/>
        <v>2368.6796798459372</v>
      </c>
      <c r="I28" s="216">
        <f t="shared" si="11"/>
        <v>2368.6796798459372</v>
      </c>
      <c r="J28" s="216">
        <f t="shared" si="11"/>
        <v>2368.6796798459372</v>
      </c>
      <c r="K28" s="216">
        <f t="shared" si="11"/>
        <v>2368.6796798459372</v>
      </c>
      <c r="L28" s="216">
        <f t="shared" si="11"/>
        <v>2368.6796798459372</v>
      </c>
      <c r="M28" s="216">
        <f t="shared" si="11"/>
        <v>2368.6796798459372</v>
      </c>
      <c r="N28" s="216">
        <f>SUM(B28:M28)</f>
        <v>28424.15615815124</v>
      </c>
    </row>
    <row r="29" spans="1:14" s="216" customFormat="1" ht="13.8" x14ac:dyDescent="0.3">
      <c r="A29" s="235" t="s">
        <v>278</v>
      </c>
      <c r="B29" s="235">
        <f>+B28+B22</f>
        <v>13951.655140456918</v>
      </c>
      <c r="C29" s="235">
        <f t="shared" ref="C29:L29" si="12">+C28+C22</f>
        <v>13951.655140456918</v>
      </c>
      <c r="D29" s="235">
        <f t="shared" si="12"/>
        <v>13951.655140456918</v>
      </c>
      <c r="E29" s="235">
        <f t="shared" si="12"/>
        <v>13951.655140456918</v>
      </c>
      <c r="F29" s="235">
        <f t="shared" si="12"/>
        <v>13951.655140456918</v>
      </c>
      <c r="G29" s="235">
        <f t="shared" si="12"/>
        <v>13951.655140456918</v>
      </c>
      <c r="H29" s="235">
        <f t="shared" si="12"/>
        <v>13951.655140456918</v>
      </c>
      <c r="I29" s="235">
        <f t="shared" si="12"/>
        <v>13951.655140456918</v>
      </c>
      <c r="J29" s="235">
        <f t="shared" si="12"/>
        <v>13951.655140456918</v>
      </c>
      <c r="K29" s="235">
        <f t="shared" si="12"/>
        <v>13951.655140456918</v>
      </c>
      <c r="L29" s="235">
        <f t="shared" si="12"/>
        <v>13951.655140456918</v>
      </c>
      <c r="M29" s="235">
        <f>+M28+M22</f>
        <v>13951.655140456918</v>
      </c>
      <c r="N29" s="216">
        <f>SUM(B29:M29)</f>
        <v>167419.86168548302</v>
      </c>
    </row>
    <row r="30" spans="1:14" s="216" customFormat="1" ht="13.8" x14ac:dyDescent="0.3"/>
    <row r="31" spans="1:14" x14ac:dyDescent="0.3">
      <c r="N31" s="210">
        <f>SUM(B31:M31)</f>
        <v>0</v>
      </c>
    </row>
    <row r="32" spans="1:14" x14ac:dyDescent="0.3">
      <c r="A32" s="209" t="s">
        <v>255</v>
      </c>
      <c r="B32" s="209">
        <f>+B12-B29</f>
        <v>5134.2274342392411</v>
      </c>
      <c r="C32" s="209">
        <f t="shared" ref="C32:M32" si="13">+C12-C29</f>
        <v>5134.2274342392411</v>
      </c>
      <c r="D32" s="209">
        <f t="shared" si="13"/>
        <v>5134.2274342392411</v>
      </c>
      <c r="E32" s="209">
        <f t="shared" si="13"/>
        <v>5134.2274342392411</v>
      </c>
      <c r="F32" s="209">
        <f t="shared" si="13"/>
        <v>5134.2274342392411</v>
      </c>
      <c r="G32" s="209">
        <f t="shared" si="13"/>
        <v>5134.2274342392411</v>
      </c>
      <c r="H32" s="209">
        <f t="shared" si="13"/>
        <v>5134.2274342392411</v>
      </c>
      <c r="I32" s="209">
        <f t="shared" si="13"/>
        <v>5134.2274342392411</v>
      </c>
      <c r="J32" s="209">
        <f t="shared" si="13"/>
        <v>5134.2274342392411</v>
      </c>
      <c r="K32" s="209">
        <f t="shared" si="13"/>
        <v>5134.2274342392411</v>
      </c>
      <c r="L32" s="209">
        <f t="shared" si="13"/>
        <v>5134.2274342392411</v>
      </c>
      <c r="M32" s="209">
        <f t="shared" si="13"/>
        <v>5134.2274342392411</v>
      </c>
    </row>
    <row r="33" spans="1:13" x14ac:dyDescent="0.3">
      <c r="A33" s="209" t="s">
        <v>256</v>
      </c>
      <c r="B33" s="209">
        <f>+'FLUJO DE CAJA 2014'!M42</f>
        <v>75955.041714685023</v>
      </c>
      <c r="C33" s="209">
        <f>+B34</f>
        <v>81089.269148924272</v>
      </c>
      <c r="D33" s="209">
        <f t="shared" ref="D33:M33" si="14">C34</f>
        <v>86223.496583163505</v>
      </c>
      <c r="E33" s="209">
        <f t="shared" si="14"/>
        <v>91357.724017402739</v>
      </c>
      <c r="F33" s="209">
        <f t="shared" si="14"/>
        <v>96491.951451641973</v>
      </c>
      <c r="G33" s="209">
        <f t="shared" si="14"/>
        <v>101626.17888588121</v>
      </c>
      <c r="H33" s="209">
        <f t="shared" si="14"/>
        <v>106760.40632012044</v>
      </c>
      <c r="I33" s="209">
        <f t="shared" si="14"/>
        <v>111894.63375435967</v>
      </c>
      <c r="J33" s="209">
        <f t="shared" si="14"/>
        <v>117028.86118859891</v>
      </c>
      <c r="K33" s="209">
        <f t="shared" si="14"/>
        <v>122163.08862283814</v>
      </c>
      <c r="L33" s="209">
        <f t="shared" si="14"/>
        <v>127297.31605707738</v>
      </c>
      <c r="M33" s="209">
        <f t="shared" si="14"/>
        <v>132431.54349131661</v>
      </c>
    </row>
    <row r="34" spans="1:13" x14ac:dyDescent="0.3">
      <c r="A34" s="209" t="s">
        <v>257</v>
      </c>
      <c r="B34" s="209">
        <f>+B32+B33</f>
        <v>81089.269148924272</v>
      </c>
      <c r="C34" s="209">
        <f>+B34+C32</f>
        <v>86223.496583163505</v>
      </c>
      <c r="D34" s="209">
        <f>+D32+D33</f>
        <v>91357.724017402739</v>
      </c>
      <c r="E34" s="209">
        <f t="shared" ref="E34:M34" si="15">+E32+E33</f>
        <v>96491.951451641973</v>
      </c>
      <c r="F34" s="209">
        <f t="shared" si="15"/>
        <v>101626.17888588121</v>
      </c>
      <c r="G34" s="209">
        <f t="shared" si="15"/>
        <v>106760.40632012044</v>
      </c>
      <c r="H34" s="209">
        <f t="shared" si="15"/>
        <v>111894.63375435967</v>
      </c>
      <c r="I34" s="209">
        <f t="shared" si="15"/>
        <v>117028.86118859891</v>
      </c>
      <c r="J34" s="209">
        <f t="shared" si="15"/>
        <v>122163.08862283814</v>
      </c>
      <c r="K34" s="209">
        <f t="shared" si="15"/>
        <v>127297.31605707738</v>
      </c>
      <c r="L34" s="209">
        <f t="shared" si="15"/>
        <v>132431.54349131661</v>
      </c>
      <c r="M34" s="209">
        <f t="shared" si="15"/>
        <v>137565.77092555584</v>
      </c>
    </row>
    <row r="40" spans="1:13" x14ac:dyDescent="0.3">
      <c r="C40" s="236"/>
      <c r="D40" s="236"/>
      <c r="E40" s="236"/>
      <c r="F40" s="236"/>
    </row>
    <row r="41" spans="1:13" x14ac:dyDescent="0.3">
      <c r="C41" s="236"/>
      <c r="D41" s="236">
        <f>+M33+N26-B33</f>
        <v>64782.355201572223</v>
      </c>
      <c r="E41" s="236"/>
      <c r="F41" s="236"/>
    </row>
    <row r="42" spans="1:13" x14ac:dyDescent="0.3">
      <c r="C42" s="236"/>
      <c r="D42" s="236">
        <v>10000</v>
      </c>
      <c r="E42" s="236"/>
      <c r="F42" s="236"/>
    </row>
    <row r="43" spans="1:13" x14ac:dyDescent="0.3">
      <c r="C43" s="236"/>
      <c r="D43" s="236">
        <f>+D41-D42</f>
        <v>54782.355201572223</v>
      </c>
      <c r="E43" s="236"/>
      <c r="F43" s="236"/>
    </row>
    <row r="44" spans="1:13" x14ac:dyDescent="0.3">
      <c r="C44" s="236"/>
      <c r="D44" s="236">
        <f>+D43*0.15</f>
        <v>8217.3532802358332</v>
      </c>
      <c r="E44" s="236"/>
      <c r="F44" s="236"/>
    </row>
    <row r="45" spans="1:13" x14ac:dyDescent="0.3">
      <c r="C45" s="236"/>
      <c r="D45" s="236">
        <f>+D43-D44</f>
        <v>46565.001921336392</v>
      </c>
      <c r="E45" s="236"/>
      <c r="F45" s="236"/>
    </row>
    <row r="46" spans="1:13" x14ac:dyDescent="0.3">
      <c r="C46" s="236"/>
      <c r="D46" s="236">
        <f>+D45*0.22</f>
        <v>10244.300422694007</v>
      </c>
      <c r="E46" s="236"/>
      <c r="F46" s="236"/>
    </row>
    <row r="47" spans="1:13" x14ac:dyDescent="0.3">
      <c r="C47" s="236"/>
      <c r="D47" s="236">
        <f>+D46+D44</f>
        <v>18461.653702929842</v>
      </c>
      <c r="E47" s="236"/>
      <c r="F47" s="236"/>
    </row>
    <row r="48" spans="1:13" x14ac:dyDescent="0.3">
      <c r="C48" s="236"/>
      <c r="D48" s="236">
        <f>+D47/12</f>
        <v>1538.4711419108201</v>
      </c>
      <c r="E48" s="236"/>
      <c r="F48" s="236"/>
    </row>
    <row r="49" spans="3:6" x14ac:dyDescent="0.3">
      <c r="C49" s="236"/>
      <c r="D49" s="236"/>
      <c r="E49" s="236"/>
      <c r="F49" s="236"/>
    </row>
  </sheetData>
  <mergeCells count="1">
    <mergeCell ref="B5:M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zoomScaleSheetLayoutView="80" workbookViewId="0">
      <selection activeCell="B13" sqref="B13"/>
    </sheetView>
  </sheetViews>
  <sheetFormatPr baseColWidth="10" defaultColWidth="11.44140625" defaultRowHeight="15.6" x14ac:dyDescent="0.3"/>
  <cols>
    <col min="1" max="1" width="31.6640625" style="209" customWidth="1"/>
    <col min="2" max="12" width="11.6640625" style="209" bestFit="1" customWidth="1"/>
    <col min="13" max="13" width="12.5546875" style="209" customWidth="1"/>
    <col min="14" max="14" width="14" style="210" bestFit="1" customWidth="1"/>
    <col min="15" max="16384" width="11.44140625" style="209"/>
  </cols>
  <sheetData>
    <row r="1" spans="1:14" ht="21" x14ac:dyDescent="0.4">
      <c r="A1" s="208" t="s">
        <v>224</v>
      </c>
    </row>
    <row r="2" spans="1:14" ht="21" x14ac:dyDescent="0.4">
      <c r="A2" s="208" t="s">
        <v>223</v>
      </c>
    </row>
    <row r="4" spans="1:14" ht="16.2" thickBot="1" x14ac:dyDescent="0.35"/>
    <row r="5" spans="1:14" ht="19.95" customHeight="1" thickBot="1" x14ac:dyDescent="0.4">
      <c r="B5" s="291">
        <v>2016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4" s="211" customFormat="1" ht="16.2" thickBot="1" x14ac:dyDescent="0.35">
      <c r="B6" s="212" t="s">
        <v>225</v>
      </c>
      <c r="C6" s="213" t="s">
        <v>226</v>
      </c>
      <c r="D6" s="213" t="s">
        <v>227</v>
      </c>
      <c r="E6" s="213" t="s">
        <v>228</v>
      </c>
      <c r="F6" s="213" t="s">
        <v>229</v>
      </c>
      <c r="G6" s="213" t="s">
        <v>230</v>
      </c>
      <c r="H6" s="213" t="s">
        <v>231</v>
      </c>
      <c r="I6" s="213" t="s">
        <v>232</v>
      </c>
      <c r="J6" s="213" t="s">
        <v>233</v>
      </c>
      <c r="K6" s="213" t="s">
        <v>234</v>
      </c>
      <c r="L6" s="213" t="s">
        <v>235</v>
      </c>
      <c r="M6" s="213" t="s">
        <v>236</v>
      </c>
      <c r="N6" s="214" t="s">
        <v>237</v>
      </c>
    </row>
    <row r="8" spans="1:14" x14ac:dyDescent="0.3">
      <c r="A8" s="215" t="s">
        <v>238</v>
      </c>
    </row>
    <row r="9" spans="1:14" x14ac:dyDescent="0.3">
      <c r="A9" s="209" t="s">
        <v>239</v>
      </c>
      <c r="B9" s="209">
        <f>'FLUJO DE CAJA 2015'!B9*1.0146</f>
        <v>55590.95179848867</v>
      </c>
      <c r="C9" s="209">
        <f>+B9</f>
        <v>55590.95179848867</v>
      </c>
      <c r="D9" s="209">
        <f t="shared" ref="D9:M10" si="0">+C9</f>
        <v>55590.95179848867</v>
      </c>
      <c r="E9" s="209">
        <f t="shared" si="0"/>
        <v>55590.95179848867</v>
      </c>
      <c r="F9" s="209">
        <f t="shared" si="0"/>
        <v>55590.95179848867</v>
      </c>
      <c r="G9" s="209">
        <f t="shared" si="0"/>
        <v>55590.95179848867</v>
      </c>
      <c r="H9" s="209">
        <f t="shared" si="0"/>
        <v>55590.95179848867</v>
      </c>
      <c r="I9" s="209">
        <f t="shared" si="0"/>
        <v>55590.95179848867</v>
      </c>
      <c r="J9" s="209">
        <f t="shared" si="0"/>
        <v>55590.95179848867</v>
      </c>
      <c r="K9" s="209">
        <f t="shared" si="0"/>
        <v>55590.95179848867</v>
      </c>
      <c r="L9" s="209">
        <f t="shared" si="0"/>
        <v>55590.95179848867</v>
      </c>
      <c r="M9" s="209">
        <f t="shared" si="0"/>
        <v>55590.95179848867</v>
      </c>
      <c r="N9" s="210">
        <f>SUM(B9:M9)</f>
        <v>667091.42158186389</v>
      </c>
    </row>
    <row r="10" spans="1:14" x14ac:dyDescent="0.3">
      <c r="A10" s="209" t="s">
        <v>240</v>
      </c>
      <c r="B10" s="209">
        <f>+B9*0.65</f>
        <v>36134.11866901764</v>
      </c>
      <c r="C10" s="209">
        <f>+B10</f>
        <v>36134.11866901764</v>
      </c>
      <c r="D10" s="209">
        <f t="shared" si="0"/>
        <v>36134.11866901764</v>
      </c>
      <c r="E10" s="209">
        <f t="shared" si="0"/>
        <v>36134.11866901764</v>
      </c>
      <c r="F10" s="209">
        <f t="shared" si="0"/>
        <v>36134.11866901764</v>
      </c>
      <c r="G10" s="209">
        <f t="shared" si="0"/>
        <v>36134.11866901764</v>
      </c>
      <c r="H10" s="209">
        <f t="shared" si="0"/>
        <v>36134.11866901764</v>
      </c>
      <c r="I10" s="209">
        <f t="shared" si="0"/>
        <v>36134.11866901764</v>
      </c>
      <c r="J10" s="209">
        <f t="shared" si="0"/>
        <v>36134.11866901764</v>
      </c>
      <c r="K10" s="209">
        <f t="shared" si="0"/>
        <v>36134.11866901764</v>
      </c>
      <c r="L10" s="209">
        <f t="shared" si="0"/>
        <v>36134.11866901764</v>
      </c>
      <c r="M10" s="209">
        <f t="shared" si="0"/>
        <v>36134.11866901764</v>
      </c>
      <c r="N10" s="210">
        <f>SUM(B10:M10)</f>
        <v>433609.42402821156</v>
      </c>
    </row>
    <row r="11" spans="1:14" s="216" customFormat="1" x14ac:dyDescent="0.3">
      <c r="A11" s="216" t="s">
        <v>241</v>
      </c>
      <c r="B11" s="216">
        <f>+B9-B10</f>
        <v>19456.83312947103</v>
      </c>
      <c r="C11" s="216">
        <f t="shared" ref="C11:M11" si="1">+C9-C10</f>
        <v>19456.83312947103</v>
      </c>
      <c r="D11" s="216">
        <f t="shared" si="1"/>
        <v>19456.83312947103</v>
      </c>
      <c r="E11" s="216">
        <f t="shared" si="1"/>
        <v>19456.83312947103</v>
      </c>
      <c r="F11" s="216">
        <f t="shared" si="1"/>
        <v>19456.83312947103</v>
      </c>
      <c r="G11" s="216">
        <f t="shared" si="1"/>
        <v>19456.83312947103</v>
      </c>
      <c r="H11" s="216">
        <f t="shared" si="1"/>
        <v>19456.83312947103</v>
      </c>
      <c r="I11" s="216">
        <f t="shared" si="1"/>
        <v>19456.83312947103</v>
      </c>
      <c r="J11" s="216">
        <f t="shared" si="1"/>
        <v>19456.83312947103</v>
      </c>
      <c r="K11" s="216">
        <f t="shared" si="1"/>
        <v>19456.83312947103</v>
      </c>
      <c r="L11" s="216">
        <f t="shared" si="1"/>
        <v>19456.83312947103</v>
      </c>
      <c r="M11" s="216">
        <f t="shared" si="1"/>
        <v>19456.83312947103</v>
      </c>
      <c r="N11" s="217">
        <f>SUM(B11:M11)</f>
        <v>233481.9975536523</v>
      </c>
    </row>
    <row r="12" spans="1:14" s="216" customFormat="1" x14ac:dyDescent="0.3">
      <c r="A12" s="235" t="s">
        <v>270</v>
      </c>
      <c r="B12" s="235">
        <f>SUM(B11)</f>
        <v>19456.83312947103</v>
      </c>
      <c r="C12" s="235">
        <f t="shared" ref="C12:M12" si="2">SUM(C11)</f>
        <v>19456.83312947103</v>
      </c>
      <c r="D12" s="235">
        <f t="shared" si="2"/>
        <v>19456.83312947103</v>
      </c>
      <c r="E12" s="235">
        <f t="shared" si="2"/>
        <v>19456.83312947103</v>
      </c>
      <c r="F12" s="235">
        <f t="shared" si="2"/>
        <v>19456.83312947103</v>
      </c>
      <c r="G12" s="235">
        <f t="shared" si="2"/>
        <v>19456.83312947103</v>
      </c>
      <c r="H12" s="235">
        <f t="shared" si="2"/>
        <v>19456.83312947103</v>
      </c>
      <c r="I12" s="235">
        <f t="shared" si="2"/>
        <v>19456.83312947103</v>
      </c>
      <c r="J12" s="235">
        <f t="shared" si="2"/>
        <v>19456.83312947103</v>
      </c>
      <c r="K12" s="235">
        <f t="shared" si="2"/>
        <v>19456.83312947103</v>
      </c>
      <c r="L12" s="235">
        <f t="shared" si="2"/>
        <v>19456.83312947103</v>
      </c>
      <c r="M12" s="235">
        <f t="shared" si="2"/>
        <v>19456.83312947103</v>
      </c>
      <c r="N12" s="217">
        <f>SUM(B12:M12)</f>
        <v>233481.9975536523</v>
      </c>
    </row>
    <row r="13" spans="1:14" s="216" customFormat="1" x14ac:dyDescent="0.3">
      <c r="N13" s="217"/>
    </row>
    <row r="14" spans="1:14" ht="17.399999999999999" x14ac:dyDescent="0.45">
      <c r="A14" s="218" t="s">
        <v>242</v>
      </c>
      <c r="N14" s="210">
        <f t="shared" ref="N14:N21" si="3">SUM(B14:M14)</f>
        <v>0</v>
      </c>
    </row>
    <row r="15" spans="1:14" x14ac:dyDescent="0.3">
      <c r="A15" s="216" t="s">
        <v>243</v>
      </c>
      <c r="N15" s="210">
        <f t="shared" si="3"/>
        <v>0</v>
      </c>
    </row>
    <row r="16" spans="1:14" x14ac:dyDescent="0.3">
      <c r="A16" s="209" t="s">
        <v>244</v>
      </c>
      <c r="B16" s="209">
        <f>+'FLUJO DE CAJA 2015'!B16*1.0145</f>
        <v>4631.4461249999995</v>
      </c>
      <c r="C16" s="209">
        <f>+B16</f>
        <v>4631.4461249999995</v>
      </c>
      <c r="D16" s="209">
        <f t="shared" ref="D16:M16" si="4">+C16</f>
        <v>4631.4461249999995</v>
      </c>
      <c r="E16" s="209">
        <f t="shared" si="4"/>
        <v>4631.4461249999995</v>
      </c>
      <c r="F16" s="209">
        <f t="shared" si="4"/>
        <v>4631.4461249999995</v>
      </c>
      <c r="G16" s="209">
        <f t="shared" si="4"/>
        <v>4631.4461249999995</v>
      </c>
      <c r="H16" s="209">
        <f t="shared" si="4"/>
        <v>4631.4461249999995</v>
      </c>
      <c r="I16" s="209">
        <f t="shared" si="4"/>
        <v>4631.4461249999995</v>
      </c>
      <c r="J16" s="209">
        <f t="shared" si="4"/>
        <v>4631.4461249999995</v>
      </c>
      <c r="K16" s="209">
        <f t="shared" si="4"/>
        <v>4631.4461249999995</v>
      </c>
      <c r="L16" s="209">
        <f t="shared" si="4"/>
        <v>4631.4461249999995</v>
      </c>
      <c r="M16" s="209">
        <f t="shared" si="4"/>
        <v>4631.4461249999995</v>
      </c>
      <c r="N16" s="210">
        <f t="shared" si="3"/>
        <v>55577.353500000005</v>
      </c>
    </row>
    <row r="17" spans="1:14" x14ac:dyDescent="0.3">
      <c r="A17" s="209" t="s">
        <v>245</v>
      </c>
      <c r="B17" s="209">
        <f>+B9*0.05</f>
        <v>2779.5475899244339</v>
      </c>
      <c r="C17" s="209">
        <f t="shared" ref="C17:M17" si="5">+C9*0.05</f>
        <v>2779.5475899244339</v>
      </c>
      <c r="D17" s="209">
        <f t="shared" si="5"/>
        <v>2779.5475899244339</v>
      </c>
      <c r="E17" s="209">
        <f t="shared" si="5"/>
        <v>2779.5475899244339</v>
      </c>
      <c r="F17" s="209">
        <f t="shared" si="5"/>
        <v>2779.5475899244339</v>
      </c>
      <c r="G17" s="209">
        <f t="shared" si="5"/>
        <v>2779.5475899244339</v>
      </c>
      <c r="H17" s="209">
        <f t="shared" si="5"/>
        <v>2779.5475899244339</v>
      </c>
      <c r="I17" s="209">
        <f t="shared" si="5"/>
        <v>2779.5475899244339</v>
      </c>
      <c r="J17" s="209">
        <f t="shared" si="5"/>
        <v>2779.5475899244339</v>
      </c>
      <c r="K17" s="209">
        <f t="shared" si="5"/>
        <v>2779.5475899244339</v>
      </c>
      <c r="L17" s="209">
        <f t="shared" si="5"/>
        <v>2779.5475899244339</v>
      </c>
      <c r="M17" s="209">
        <f t="shared" si="5"/>
        <v>2779.5475899244339</v>
      </c>
      <c r="N17" s="210">
        <f t="shared" si="3"/>
        <v>33354.571079093206</v>
      </c>
    </row>
    <row r="18" spans="1:14" x14ac:dyDescent="0.3">
      <c r="A18" s="209" t="s">
        <v>246</v>
      </c>
      <c r="B18" s="209">
        <v>600</v>
      </c>
      <c r="C18" s="209">
        <v>600</v>
      </c>
      <c r="D18" s="209">
        <v>600</v>
      </c>
      <c r="E18" s="209">
        <v>600</v>
      </c>
      <c r="F18" s="209">
        <v>600</v>
      </c>
      <c r="G18" s="209">
        <v>600</v>
      </c>
      <c r="H18" s="209">
        <v>600</v>
      </c>
      <c r="I18" s="209">
        <v>600</v>
      </c>
      <c r="J18" s="209">
        <v>600</v>
      </c>
      <c r="K18" s="209">
        <v>600</v>
      </c>
      <c r="L18" s="209">
        <v>600</v>
      </c>
      <c r="M18" s="209">
        <v>600</v>
      </c>
      <c r="N18" s="210">
        <f t="shared" si="3"/>
        <v>7200</v>
      </c>
    </row>
    <row r="19" spans="1:14" x14ac:dyDescent="0.3">
      <c r="A19" s="209" t="s">
        <v>247</v>
      </c>
      <c r="B19" s="209">
        <v>114.74</v>
      </c>
      <c r="C19" s="209">
        <v>114.74</v>
      </c>
      <c r="D19" s="209">
        <v>114.74</v>
      </c>
      <c r="E19" s="209">
        <v>114.74</v>
      </c>
      <c r="F19" s="209">
        <v>114.74</v>
      </c>
      <c r="G19" s="209">
        <v>114.74</v>
      </c>
      <c r="H19" s="209">
        <v>114.74</v>
      </c>
      <c r="I19" s="209">
        <v>114.74</v>
      </c>
      <c r="J19" s="209">
        <v>114.74</v>
      </c>
      <c r="K19" s="209">
        <v>114.74</v>
      </c>
      <c r="L19" s="209">
        <v>114.74</v>
      </c>
      <c r="M19" s="209">
        <v>114.74</v>
      </c>
      <c r="N19" s="210">
        <f t="shared" si="3"/>
        <v>1376.8799999999999</v>
      </c>
    </row>
    <row r="20" spans="1:14" x14ac:dyDescent="0.3">
      <c r="A20" s="209" t="s">
        <v>248</v>
      </c>
      <c r="B20" s="209">
        <f>+B11*0.04</f>
        <v>778.27332517884122</v>
      </c>
      <c r="C20" s="209">
        <f>+C11*0.04</f>
        <v>778.27332517884122</v>
      </c>
      <c r="D20" s="209">
        <f t="shared" ref="D20:M20" si="6">+D11*0.04</f>
        <v>778.27332517884122</v>
      </c>
      <c r="E20" s="209">
        <f t="shared" si="6"/>
        <v>778.27332517884122</v>
      </c>
      <c r="F20" s="209">
        <f t="shared" si="6"/>
        <v>778.27332517884122</v>
      </c>
      <c r="G20" s="209">
        <f t="shared" si="6"/>
        <v>778.27332517884122</v>
      </c>
      <c r="H20" s="209">
        <f t="shared" si="6"/>
        <v>778.27332517884122</v>
      </c>
      <c r="I20" s="209">
        <f t="shared" si="6"/>
        <v>778.27332517884122</v>
      </c>
      <c r="J20" s="209">
        <f t="shared" si="6"/>
        <v>778.27332517884122</v>
      </c>
      <c r="K20" s="209">
        <f t="shared" si="6"/>
        <v>778.27332517884122</v>
      </c>
      <c r="L20" s="209">
        <f t="shared" si="6"/>
        <v>778.27332517884122</v>
      </c>
      <c r="M20" s="209">
        <f t="shared" si="6"/>
        <v>778.27332517884122</v>
      </c>
      <c r="N20" s="210">
        <f t="shared" si="3"/>
        <v>9339.2799021460942</v>
      </c>
    </row>
    <row r="21" spans="1:14" x14ac:dyDescent="0.3">
      <c r="A21" s="209" t="s">
        <v>249</v>
      </c>
      <c r="B21" s="209">
        <v>2800</v>
      </c>
      <c r="C21" s="209">
        <f>+B21</f>
        <v>2800</v>
      </c>
      <c r="D21" s="209">
        <f t="shared" ref="D21:M21" si="7">+C21</f>
        <v>2800</v>
      </c>
      <c r="E21" s="209">
        <f t="shared" si="7"/>
        <v>2800</v>
      </c>
      <c r="F21" s="209">
        <f t="shared" si="7"/>
        <v>2800</v>
      </c>
      <c r="G21" s="209">
        <f t="shared" si="7"/>
        <v>2800</v>
      </c>
      <c r="H21" s="209">
        <f t="shared" si="7"/>
        <v>2800</v>
      </c>
      <c r="I21" s="209">
        <f t="shared" si="7"/>
        <v>2800</v>
      </c>
      <c r="J21" s="209">
        <f t="shared" si="7"/>
        <v>2800</v>
      </c>
      <c r="K21" s="209">
        <f t="shared" si="7"/>
        <v>2800</v>
      </c>
      <c r="L21" s="209">
        <f t="shared" si="7"/>
        <v>2800</v>
      </c>
      <c r="M21" s="209">
        <f t="shared" si="7"/>
        <v>2800</v>
      </c>
      <c r="N21" s="210">
        <f t="shared" si="3"/>
        <v>33600</v>
      </c>
    </row>
    <row r="22" spans="1:14" s="216" customFormat="1" x14ac:dyDescent="0.3">
      <c r="A22" s="216" t="s">
        <v>250</v>
      </c>
      <c r="B22" s="216">
        <f t="shared" ref="B22:M22" si="8">SUM(B16:B21)</f>
        <v>11704.007040103274</v>
      </c>
      <c r="C22" s="216">
        <f t="shared" si="8"/>
        <v>11704.007040103274</v>
      </c>
      <c r="D22" s="216">
        <f t="shared" si="8"/>
        <v>11704.007040103274</v>
      </c>
      <c r="E22" s="216">
        <f t="shared" si="8"/>
        <v>11704.007040103274</v>
      </c>
      <c r="F22" s="216">
        <f t="shared" si="8"/>
        <v>11704.007040103274</v>
      </c>
      <c r="G22" s="216">
        <f t="shared" si="8"/>
        <v>11704.007040103274</v>
      </c>
      <c r="H22" s="216">
        <f t="shared" si="8"/>
        <v>11704.007040103274</v>
      </c>
      <c r="I22" s="216">
        <f t="shared" si="8"/>
        <v>11704.007040103274</v>
      </c>
      <c r="J22" s="216">
        <f t="shared" si="8"/>
        <v>11704.007040103274</v>
      </c>
      <c r="K22" s="216">
        <f t="shared" si="8"/>
        <v>11704.007040103274</v>
      </c>
      <c r="L22" s="216">
        <f t="shared" si="8"/>
        <v>11704.007040103274</v>
      </c>
      <c r="M22" s="216">
        <f t="shared" si="8"/>
        <v>11704.007040103274</v>
      </c>
      <c r="N22" s="217">
        <f>SUM(N16:N21)</f>
        <v>140448.08448123932</v>
      </c>
    </row>
    <row r="23" spans="1:14" x14ac:dyDescent="0.3">
      <c r="N23" s="210">
        <f t="shared" ref="N23:N30" si="9">SUM(B23:M23)</f>
        <v>0</v>
      </c>
    </row>
    <row r="24" spans="1:14" x14ac:dyDescent="0.3">
      <c r="A24" s="216" t="s">
        <v>251</v>
      </c>
      <c r="N24" s="210">
        <f t="shared" si="9"/>
        <v>0</v>
      </c>
    </row>
    <row r="25" spans="1:14" x14ac:dyDescent="0.3">
      <c r="A25" s="209" t="s">
        <v>253</v>
      </c>
      <c r="B25" s="207">
        <v>76.463206789866533</v>
      </c>
      <c r="C25" s="207">
        <v>70.378069514399272</v>
      </c>
      <c r="D25" s="207">
        <v>64.242222761636469</v>
      </c>
      <c r="E25" s="207">
        <v>58.055243952600627</v>
      </c>
      <c r="F25" s="207">
        <v>51.81670698682283</v>
      </c>
      <c r="G25" s="207">
        <v>45.526182212996879</v>
      </c>
      <c r="H25" s="207">
        <v>39.183236399389038</v>
      </c>
      <c r="I25" s="207">
        <v>32.787432704001141</v>
      </c>
      <c r="J25" s="207">
        <v>26.338330644485005</v>
      </c>
      <c r="K25" s="207">
        <v>19.83548606780624</v>
      </c>
      <c r="L25" s="207">
        <v>13.27845111965515</v>
      </c>
      <c r="M25" s="207">
        <v>6.6667742136027996</v>
      </c>
      <c r="N25" s="210">
        <f t="shared" si="9"/>
        <v>504.57134336726205</v>
      </c>
    </row>
    <row r="26" spans="1:14" x14ac:dyDescent="0.3">
      <c r="A26" s="209" t="s">
        <v>252</v>
      </c>
      <c r="B26" s="207">
        <v>730.21647305607064</v>
      </c>
      <c r="C26" s="207">
        <v>736.30161033153786</v>
      </c>
      <c r="D26" s="207">
        <v>742.4374570843006</v>
      </c>
      <c r="E26" s="207">
        <v>748.62443589333645</v>
      </c>
      <c r="F26" s="207">
        <v>754.86297285911428</v>
      </c>
      <c r="G26" s="207">
        <v>761.15349763294023</v>
      </c>
      <c r="H26" s="207">
        <v>767.49644344654814</v>
      </c>
      <c r="I26" s="207">
        <v>773.89224714193597</v>
      </c>
      <c r="J26" s="207">
        <v>780.34134920145209</v>
      </c>
      <c r="K26" s="207">
        <v>786.84419377813094</v>
      </c>
      <c r="L26" s="207">
        <v>793.40122872628194</v>
      </c>
      <c r="M26" s="207">
        <v>800.01290563233431</v>
      </c>
      <c r="N26" s="210">
        <f t="shared" si="9"/>
        <v>9175.5848147839843</v>
      </c>
    </row>
    <row r="27" spans="1:14" ht="14.4" x14ac:dyDescent="0.3">
      <c r="A27" s="209" t="s">
        <v>263</v>
      </c>
      <c r="B27" s="207">
        <v>1620</v>
      </c>
      <c r="C27" s="207">
        <f>+B27</f>
        <v>1620</v>
      </c>
      <c r="D27" s="207">
        <f t="shared" ref="D27:M27" si="10">+C27</f>
        <v>1620</v>
      </c>
      <c r="E27" s="207">
        <f t="shared" si="10"/>
        <v>1620</v>
      </c>
      <c r="F27" s="207">
        <f t="shared" si="10"/>
        <v>1620</v>
      </c>
      <c r="G27" s="207">
        <f t="shared" si="10"/>
        <v>1620</v>
      </c>
      <c r="H27" s="207">
        <f t="shared" si="10"/>
        <v>1620</v>
      </c>
      <c r="I27" s="207">
        <f t="shared" si="10"/>
        <v>1620</v>
      </c>
      <c r="J27" s="207">
        <f t="shared" si="10"/>
        <v>1620</v>
      </c>
      <c r="K27" s="207">
        <f t="shared" si="10"/>
        <v>1620</v>
      </c>
      <c r="L27" s="207">
        <f t="shared" si="10"/>
        <v>1620</v>
      </c>
      <c r="M27" s="207">
        <f t="shared" si="10"/>
        <v>1620</v>
      </c>
      <c r="N27" s="207">
        <f t="shared" si="9"/>
        <v>19440</v>
      </c>
    </row>
    <row r="28" spans="1:14" s="216" customFormat="1" ht="13.8" x14ac:dyDescent="0.3">
      <c r="A28" s="216" t="s">
        <v>254</v>
      </c>
      <c r="B28" s="216">
        <f>SUM(B25:B27)</f>
        <v>2426.6796798459372</v>
      </c>
      <c r="C28" s="216">
        <f t="shared" ref="C28:M28" si="11">SUM(C25:C27)</f>
        <v>2426.6796798459372</v>
      </c>
      <c r="D28" s="216">
        <f t="shared" si="11"/>
        <v>2426.6796798459372</v>
      </c>
      <c r="E28" s="216">
        <f t="shared" si="11"/>
        <v>2426.6796798459372</v>
      </c>
      <c r="F28" s="216">
        <f t="shared" si="11"/>
        <v>2426.6796798459372</v>
      </c>
      <c r="G28" s="216">
        <f t="shared" si="11"/>
        <v>2426.6796798459372</v>
      </c>
      <c r="H28" s="216">
        <f t="shared" si="11"/>
        <v>2426.6796798459372</v>
      </c>
      <c r="I28" s="216">
        <f t="shared" si="11"/>
        <v>2426.6796798459372</v>
      </c>
      <c r="J28" s="216">
        <f t="shared" si="11"/>
        <v>2426.6796798459372</v>
      </c>
      <c r="K28" s="216">
        <f t="shared" si="11"/>
        <v>2426.6796798459372</v>
      </c>
      <c r="L28" s="216">
        <f t="shared" si="11"/>
        <v>2426.6796798459372</v>
      </c>
      <c r="M28" s="216">
        <f t="shared" si="11"/>
        <v>2426.6796798459372</v>
      </c>
      <c r="N28" s="216">
        <f t="shared" si="9"/>
        <v>29120.15615815124</v>
      </c>
    </row>
    <row r="29" spans="1:14" s="216" customFormat="1" ht="13.8" x14ac:dyDescent="0.3">
      <c r="A29" s="235" t="s">
        <v>278</v>
      </c>
      <c r="B29" s="235">
        <f>+B28+B22</f>
        <v>14130.686719949212</v>
      </c>
      <c r="C29" s="235">
        <f t="shared" ref="C29:M29" si="12">+C28+C22</f>
        <v>14130.686719949212</v>
      </c>
      <c r="D29" s="235">
        <f t="shared" si="12"/>
        <v>14130.686719949212</v>
      </c>
      <c r="E29" s="235">
        <f t="shared" si="12"/>
        <v>14130.686719949212</v>
      </c>
      <c r="F29" s="235">
        <f t="shared" si="12"/>
        <v>14130.686719949212</v>
      </c>
      <c r="G29" s="235">
        <f t="shared" si="12"/>
        <v>14130.686719949212</v>
      </c>
      <c r="H29" s="235">
        <f t="shared" si="12"/>
        <v>14130.686719949212</v>
      </c>
      <c r="I29" s="235">
        <f t="shared" si="12"/>
        <v>14130.686719949212</v>
      </c>
      <c r="J29" s="235">
        <f t="shared" si="12"/>
        <v>14130.686719949212</v>
      </c>
      <c r="K29" s="235">
        <f t="shared" si="12"/>
        <v>14130.686719949212</v>
      </c>
      <c r="L29" s="235">
        <f t="shared" si="12"/>
        <v>14130.686719949212</v>
      </c>
      <c r="M29" s="235">
        <f t="shared" si="12"/>
        <v>14130.686719949212</v>
      </c>
      <c r="N29" s="216">
        <f>SUM(B29:M29)</f>
        <v>169568.24063939054</v>
      </c>
    </row>
    <row r="30" spans="1:14" x14ac:dyDescent="0.3">
      <c r="N30" s="210">
        <f t="shared" si="9"/>
        <v>0</v>
      </c>
    </row>
    <row r="31" spans="1:14" x14ac:dyDescent="0.3">
      <c r="A31" s="209" t="s">
        <v>255</v>
      </c>
      <c r="B31" s="209">
        <f>+B12-B29</f>
        <v>5326.146409521818</v>
      </c>
      <c r="C31" s="209">
        <f t="shared" ref="C31:M31" si="13">+C12-C29</f>
        <v>5326.146409521818</v>
      </c>
      <c r="D31" s="209">
        <f t="shared" si="13"/>
        <v>5326.146409521818</v>
      </c>
      <c r="E31" s="209">
        <f t="shared" si="13"/>
        <v>5326.146409521818</v>
      </c>
      <c r="F31" s="209">
        <f t="shared" si="13"/>
        <v>5326.146409521818</v>
      </c>
      <c r="G31" s="209">
        <f t="shared" si="13"/>
        <v>5326.146409521818</v>
      </c>
      <c r="H31" s="209">
        <f t="shared" si="13"/>
        <v>5326.146409521818</v>
      </c>
      <c r="I31" s="209">
        <f t="shared" si="13"/>
        <v>5326.146409521818</v>
      </c>
      <c r="J31" s="209">
        <f t="shared" si="13"/>
        <v>5326.146409521818</v>
      </c>
      <c r="K31" s="209">
        <f t="shared" si="13"/>
        <v>5326.146409521818</v>
      </c>
      <c r="L31" s="209">
        <f t="shared" si="13"/>
        <v>5326.146409521818</v>
      </c>
      <c r="M31" s="209">
        <f t="shared" si="13"/>
        <v>5326.146409521818</v>
      </c>
    </row>
    <row r="32" spans="1:14" x14ac:dyDescent="0.3">
      <c r="A32" s="209" t="s">
        <v>256</v>
      </c>
      <c r="B32" s="209">
        <f>+'FLUJO DE CAJA 2015'!M34</f>
        <v>137565.77092555584</v>
      </c>
      <c r="C32" s="209">
        <f>+B33</f>
        <v>142891.91733507765</v>
      </c>
      <c r="D32" s="209">
        <f t="shared" ref="D32:M32" si="14">C33</f>
        <v>148218.06374459947</v>
      </c>
      <c r="E32" s="209">
        <f t="shared" si="14"/>
        <v>153544.21015412128</v>
      </c>
      <c r="F32" s="209">
        <f t="shared" si="14"/>
        <v>158870.35656364309</v>
      </c>
      <c r="G32" s="209">
        <f t="shared" si="14"/>
        <v>164196.5029731649</v>
      </c>
      <c r="H32" s="209">
        <f t="shared" si="14"/>
        <v>169522.64938268671</v>
      </c>
      <c r="I32" s="209">
        <f t="shared" si="14"/>
        <v>174848.79579220852</v>
      </c>
      <c r="J32" s="209">
        <f t="shared" si="14"/>
        <v>180174.94220173033</v>
      </c>
      <c r="K32" s="209">
        <f t="shared" si="14"/>
        <v>185501.08861125214</v>
      </c>
      <c r="L32" s="209">
        <f t="shared" si="14"/>
        <v>190827.23502077395</v>
      </c>
      <c r="M32" s="209">
        <f t="shared" si="14"/>
        <v>196153.38143029576</v>
      </c>
    </row>
    <row r="33" spans="1:13" x14ac:dyDescent="0.3">
      <c r="A33" s="209" t="s">
        <v>257</v>
      </c>
      <c r="B33" s="209">
        <f>+B31+B32</f>
        <v>142891.91733507765</v>
      </c>
      <c r="C33" s="209">
        <f>+B33+C31</f>
        <v>148218.06374459947</v>
      </c>
      <c r="D33" s="209">
        <f>+D31+D32</f>
        <v>153544.21015412128</v>
      </c>
      <c r="E33" s="209">
        <f t="shared" ref="E33:M33" si="15">+E31+E32</f>
        <v>158870.35656364309</v>
      </c>
      <c r="F33" s="209">
        <f t="shared" si="15"/>
        <v>164196.5029731649</v>
      </c>
      <c r="G33" s="209">
        <f t="shared" si="15"/>
        <v>169522.64938268671</v>
      </c>
      <c r="H33" s="209">
        <f t="shared" si="15"/>
        <v>174848.79579220852</v>
      </c>
      <c r="I33" s="209">
        <f t="shared" si="15"/>
        <v>180174.94220173033</v>
      </c>
      <c r="J33" s="209">
        <f t="shared" si="15"/>
        <v>185501.08861125214</v>
      </c>
      <c r="K33" s="209">
        <f t="shared" si="15"/>
        <v>190827.23502077395</v>
      </c>
      <c r="L33" s="209">
        <f t="shared" si="15"/>
        <v>196153.38143029576</v>
      </c>
      <c r="M33" s="209">
        <f t="shared" si="15"/>
        <v>201479.52783981757</v>
      </c>
    </row>
  </sheetData>
  <mergeCells count="1">
    <mergeCell ref="B5:M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PERFIL CLIENTE</vt:lpstr>
      <vt:lpstr>CONFIGURACION</vt:lpstr>
      <vt:lpstr>EVALUACION FINANCIERA</vt:lpstr>
      <vt:lpstr>TABLA DE AMORTIZACION</vt:lpstr>
      <vt:lpstr>Hoja5</vt:lpstr>
      <vt:lpstr>FLUJO DE CAJA 2014</vt:lpstr>
      <vt:lpstr>FLUJO DE CAJA 2015</vt:lpstr>
      <vt:lpstr>FLUJO DE CAJA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SJURADO</dc:creator>
  <cp:lastModifiedBy>SJURADO</cp:lastModifiedBy>
  <dcterms:created xsi:type="dcterms:W3CDTF">2015-02-11T21:19:22Z</dcterms:created>
  <dcterms:modified xsi:type="dcterms:W3CDTF">2015-08-17T19:53:07Z</dcterms:modified>
</cp:coreProperties>
</file>