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19320" windowHeight="13740" tabRatio="500" activeTab="1"/>
  </bookViews>
  <sheets>
    <sheet name="Análisis Financiero" sheetId="1" r:id="rId1"/>
    <sheet name="Inversiones, Deprec., Amort" sheetId="2" r:id="rId2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0" i="1"/>
  <c r="D141"/>
  <c r="D159"/>
  <c r="D266"/>
  <c r="E94"/>
  <c r="D95"/>
  <c r="E95"/>
  <c r="E108"/>
  <c r="D120"/>
  <c r="D124"/>
  <c r="D126"/>
  <c r="D128"/>
  <c r="E154"/>
  <c r="D129"/>
  <c r="E155"/>
  <c r="E157"/>
  <c r="E159"/>
  <c r="D267"/>
  <c r="C56"/>
  <c r="C58"/>
  <c r="C60"/>
  <c r="C62"/>
  <c r="C64"/>
  <c r="D139"/>
  <c r="D87"/>
  <c r="J17"/>
  <c r="C88"/>
  <c r="D88"/>
  <c r="C89"/>
  <c r="D89"/>
  <c r="C90"/>
  <c r="D90"/>
  <c r="C91"/>
  <c r="D91"/>
  <c r="D92"/>
  <c r="D144"/>
  <c r="C71"/>
  <c r="C72"/>
  <c r="C73"/>
  <c r="C74"/>
  <c r="D145"/>
  <c r="D97"/>
  <c r="C76"/>
  <c r="D146"/>
  <c r="D100"/>
  <c r="D147"/>
  <c r="D99"/>
  <c r="C78"/>
  <c r="D148"/>
  <c r="D98"/>
  <c r="C77"/>
  <c r="D149"/>
  <c r="D151"/>
  <c r="D105"/>
  <c r="D152"/>
  <c r="D154"/>
  <c r="D155"/>
  <c r="D157"/>
  <c r="D46"/>
  <c r="D38"/>
  <c r="D56"/>
  <c r="D39"/>
  <c r="D58"/>
  <c r="D48"/>
  <c r="D40"/>
  <c r="D60"/>
  <c r="D41"/>
  <c r="D62"/>
  <c r="D64"/>
  <c r="E139"/>
  <c r="E141"/>
  <c r="E87"/>
  <c r="E88"/>
  <c r="E89"/>
  <c r="E90"/>
  <c r="E91"/>
  <c r="E92"/>
  <c r="E144"/>
  <c r="D71"/>
  <c r="D72"/>
  <c r="D73"/>
  <c r="D74"/>
  <c r="E145"/>
  <c r="E97"/>
  <c r="D76"/>
  <c r="E146"/>
  <c r="E100"/>
  <c r="E147"/>
  <c r="E99"/>
  <c r="D78"/>
  <c r="E148"/>
  <c r="E98"/>
  <c r="D77"/>
  <c r="E149"/>
  <c r="E150"/>
  <c r="E151"/>
  <c r="E105"/>
  <c r="E152"/>
  <c r="D115"/>
  <c r="D117"/>
  <c r="E101"/>
  <c r="E103"/>
  <c r="E104"/>
  <c r="E106"/>
  <c r="D79"/>
  <c r="D81"/>
  <c r="D121"/>
  <c r="E264"/>
  <c r="D264"/>
  <c r="D265"/>
  <c r="E265"/>
  <c r="E38"/>
  <c r="F38"/>
  <c r="G38"/>
  <c r="G56"/>
  <c r="G71"/>
  <c r="E39"/>
  <c r="F39"/>
  <c r="G39"/>
  <c r="G58"/>
  <c r="E40"/>
  <c r="F40"/>
  <c r="G40"/>
  <c r="G60"/>
  <c r="G72"/>
  <c r="E41"/>
  <c r="F41"/>
  <c r="G41"/>
  <c r="G62"/>
  <c r="G73"/>
  <c r="G74"/>
  <c r="G76"/>
  <c r="G77"/>
  <c r="G78"/>
  <c r="G79"/>
  <c r="G81"/>
  <c r="G121"/>
  <c r="F87"/>
  <c r="G87"/>
  <c r="H87"/>
  <c r="F88"/>
  <c r="G88"/>
  <c r="H88"/>
  <c r="F89"/>
  <c r="G89"/>
  <c r="H89"/>
  <c r="F90"/>
  <c r="G90"/>
  <c r="H90"/>
  <c r="F91"/>
  <c r="G91"/>
  <c r="H91"/>
  <c r="H92"/>
  <c r="H97"/>
  <c r="H98"/>
  <c r="H99"/>
  <c r="H100"/>
  <c r="H101"/>
  <c r="H103"/>
  <c r="H104"/>
  <c r="G64"/>
  <c r="H105"/>
  <c r="H106"/>
  <c r="H94"/>
  <c r="H95"/>
  <c r="H108"/>
  <c r="G120"/>
  <c r="G124"/>
  <c r="G115"/>
  <c r="G117"/>
  <c r="G126"/>
  <c r="G128"/>
  <c r="G129"/>
  <c r="F56"/>
  <c r="F71"/>
  <c r="F58"/>
  <c r="F60"/>
  <c r="F72"/>
  <c r="F62"/>
  <c r="F73"/>
  <c r="F74"/>
  <c r="F76"/>
  <c r="F77"/>
  <c r="F78"/>
  <c r="F79"/>
  <c r="F81"/>
  <c r="F121"/>
  <c r="G92"/>
  <c r="G97"/>
  <c r="G98"/>
  <c r="G99"/>
  <c r="G100"/>
  <c r="G101"/>
  <c r="G103"/>
  <c r="G104"/>
  <c r="F64"/>
  <c r="G105"/>
  <c r="G106"/>
  <c r="G94"/>
  <c r="G95"/>
  <c r="G108"/>
  <c r="F120"/>
  <c r="F124"/>
  <c r="F115"/>
  <c r="F117"/>
  <c r="F126"/>
  <c r="F128"/>
  <c r="F129"/>
  <c r="E56"/>
  <c r="E71"/>
  <c r="E58"/>
  <c r="E60"/>
  <c r="E72"/>
  <c r="E62"/>
  <c r="E73"/>
  <c r="E74"/>
  <c r="E76"/>
  <c r="E77"/>
  <c r="E78"/>
  <c r="E79"/>
  <c r="E81"/>
  <c r="E121"/>
  <c r="F92"/>
  <c r="F97"/>
  <c r="F98"/>
  <c r="F99"/>
  <c r="F100"/>
  <c r="F101"/>
  <c r="F103"/>
  <c r="F104"/>
  <c r="E64"/>
  <c r="F105"/>
  <c r="F106"/>
  <c r="F94"/>
  <c r="F95"/>
  <c r="F108"/>
  <c r="E120"/>
  <c r="E124"/>
  <c r="E115"/>
  <c r="E117"/>
  <c r="E126"/>
  <c r="E128"/>
  <c r="E129"/>
  <c r="C11"/>
  <c r="D17"/>
  <c r="F17"/>
  <c r="C19"/>
  <c r="F145"/>
  <c r="F146"/>
  <c r="F148"/>
  <c r="F149"/>
  <c r="F154"/>
  <c r="F155"/>
  <c r="F144"/>
  <c r="F147"/>
  <c r="F150"/>
  <c r="F151"/>
  <c r="F152"/>
  <c r="F157"/>
  <c r="F139"/>
  <c r="F141"/>
  <c r="F159"/>
  <c r="F264"/>
  <c r="G145"/>
  <c r="G146"/>
  <c r="G148"/>
  <c r="G149"/>
  <c r="G154"/>
  <c r="G155"/>
  <c r="G144"/>
  <c r="G147"/>
  <c r="G150"/>
  <c r="G151"/>
  <c r="G152"/>
  <c r="G157"/>
  <c r="G139"/>
  <c r="G141"/>
  <c r="G159"/>
  <c r="G264"/>
  <c r="H145"/>
  <c r="H146"/>
  <c r="H148"/>
  <c r="H149"/>
  <c r="H154"/>
  <c r="H155"/>
  <c r="H144"/>
  <c r="H147"/>
  <c r="H150"/>
  <c r="H151"/>
  <c r="H152"/>
  <c r="H157"/>
  <c r="H139"/>
  <c r="H141"/>
  <c r="H159"/>
  <c r="H264"/>
  <c r="F9"/>
  <c r="C159"/>
  <c r="C264"/>
  <c r="F265"/>
  <c r="G265"/>
  <c r="H265"/>
  <c r="D160"/>
  <c r="E160"/>
  <c r="F164"/>
  <c r="E229"/>
  <c r="E228"/>
  <c r="E230"/>
  <c r="C176"/>
  <c r="C215"/>
  <c r="C216"/>
  <c r="G9"/>
  <c r="C199"/>
  <c r="C219"/>
  <c r="C222"/>
  <c r="D210"/>
  <c r="C115"/>
  <c r="C117"/>
  <c r="D101"/>
  <c r="D103"/>
  <c r="D104"/>
  <c r="D106"/>
  <c r="D94"/>
  <c r="D108"/>
  <c r="C120"/>
  <c r="C79"/>
  <c r="C81"/>
  <c r="C121"/>
  <c r="C124"/>
  <c r="C126"/>
  <c r="C131"/>
  <c r="D212"/>
  <c r="D213"/>
  <c r="D222"/>
  <c r="D172"/>
  <c r="D174"/>
  <c r="G131"/>
  <c r="F131"/>
  <c r="E131"/>
  <c r="D131"/>
  <c r="C133"/>
  <c r="D133"/>
  <c r="E133"/>
  <c r="F133"/>
  <c r="G133"/>
  <c r="D199"/>
  <c r="E199"/>
  <c r="F199"/>
  <c r="E210"/>
  <c r="E212"/>
  <c r="E213"/>
  <c r="E222"/>
  <c r="H213"/>
  <c r="D182"/>
  <c r="E182"/>
  <c r="F182"/>
  <c r="G182"/>
  <c r="H182"/>
  <c r="E176"/>
  <c r="F176"/>
  <c r="G176"/>
  <c r="H176"/>
  <c r="D176"/>
  <c r="D186"/>
  <c r="E186"/>
  <c r="F186"/>
  <c r="G186"/>
  <c r="H186"/>
  <c r="D181"/>
  <c r="E181"/>
  <c r="F181"/>
  <c r="G181"/>
  <c r="H181"/>
  <c r="G213"/>
  <c r="F213"/>
  <c r="G187"/>
  <c r="F187"/>
  <c r="D187"/>
  <c r="E187"/>
  <c r="H187"/>
  <c r="M36" i="2"/>
  <c r="M37"/>
  <c r="L37"/>
  <c r="L36"/>
  <c r="K36"/>
  <c r="K37"/>
  <c r="J36"/>
  <c r="J37"/>
  <c r="I36"/>
  <c r="I37"/>
  <c r="C183" i="1"/>
  <c r="D180"/>
  <c r="D183"/>
  <c r="M28" i="2"/>
  <c r="L28"/>
  <c r="K28"/>
  <c r="F180" i="1"/>
  <c r="I27" i="2"/>
  <c r="J27"/>
  <c r="K27"/>
  <c r="L27"/>
  <c r="M27"/>
  <c r="I28"/>
  <c r="I30"/>
  <c r="J28"/>
  <c r="J30"/>
  <c r="K30"/>
  <c r="L30"/>
  <c r="L31"/>
  <c r="C187" i="1"/>
  <c r="M30" i="2"/>
  <c r="C12"/>
  <c r="D36"/>
  <c r="C30"/>
  <c r="D35"/>
  <c r="D240" i="1"/>
  <c r="E240"/>
  <c r="F240"/>
  <c r="G240"/>
  <c r="D19" i="2"/>
  <c r="E19"/>
  <c r="F19"/>
  <c r="G19"/>
  <c r="C19"/>
  <c r="G50" i="1"/>
  <c r="C240"/>
  <c r="G33"/>
  <c r="F50"/>
  <c r="F33"/>
  <c r="D50"/>
  <c r="D33"/>
  <c r="E50"/>
  <c r="E33"/>
  <c r="C50"/>
  <c r="C33"/>
  <c r="D30" i="2"/>
  <c r="F183" i="1"/>
  <c r="G199"/>
  <c r="C21" i="2"/>
  <c r="C36"/>
  <c r="M31"/>
  <c r="C35"/>
  <c r="I31"/>
  <c r="K31"/>
  <c r="J31"/>
  <c r="D38"/>
  <c r="G180" i="1"/>
  <c r="G183"/>
  <c r="H180"/>
  <c r="H183"/>
  <c r="E180"/>
  <c r="E183"/>
  <c r="H199"/>
  <c r="C201"/>
  <c r="C203"/>
  <c r="B234"/>
  <c r="C242"/>
  <c r="D66"/>
  <c r="C172"/>
  <c r="C174"/>
  <c r="C189"/>
  <c r="E66"/>
  <c r="D200"/>
  <c r="D201"/>
  <c r="D203"/>
  <c r="E247"/>
  <c r="G66"/>
  <c r="F66"/>
  <c r="D189"/>
  <c r="E257"/>
  <c r="E252"/>
  <c r="F160"/>
  <c r="F212"/>
  <c r="F200"/>
  <c r="F201"/>
  <c r="F203"/>
  <c r="G247"/>
  <c r="G200"/>
  <c r="G201"/>
  <c r="G203"/>
  <c r="H247"/>
  <c r="G212"/>
  <c r="G160"/>
  <c r="E200"/>
  <c r="E201"/>
  <c r="E203"/>
  <c r="F247"/>
  <c r="H160"/>
  <c r="G252"/>
  <c r="E172"/>
  <c r="E174"/>
  <c r="E189"/>
  <c r="F210"/>
  <c r="F222"/>
  <c r="H212"/>
  <c r="H200"/>
  <c r="H201"/>
  <c r="H203"/>
  <c r="I247"/>
  <c r="F252"/>
  <c r="H252"/>
  <c r="F257"/>
  <c r="E205"/>
  <c r="F172"/>
  <c r="F174"/>
  <c r="F189"/>
  <c r="G210"/>
  <c r="G222"/>
  <c r="I252"/>
  <c r="G257"/>
  <c r="F205"/>
  <c r="G172"/>
  <c r="G174"/>
  <c r="G189"/>
  <c r="H210"/>
  <c r="H222"/>
  <c r="H172"/>
  <c r="H174"/>
  <c r="H189"/>
  <c r="H257"/>
  <c r="G205"/>
  <c r="H205"/>
  <c r="I257"/>
</calcChain>
</file>

<file path=xl/comments1.xml><?xml version="1.0" encoding="utf-8"?>
<comments xmlns="http://schemas.openxmlformats.org/spreadsheetml/2006/main">
  <authors>
    <author>Carlos Diaz</author>
  </authors>
  <commentList>
    <comment ref="H14" authorId="0">
      <text>
        <r>
          <rPr>
            <b/>
            <sz val="9"/>
            <color indexed="81"/>
            <rFont val="Calibri"/>
            <family val="2"/>
          </rPr>
          <t>Sueldo Fijo + comisión</t>
        </r>
      </text>
    </comment>
    <comment ref="B15" authorId="0">
      <text>
        <r>
          <rPr>
            <b/>
            <sz val="9"/>
            <color indexed="81"/>
            <rFont val="Calibri"/>
            <family val="2"/>
          </rPr>
          <t>Correspondiente a la inclusión de nuevo software para el manejo de base de datos</t>
        </r>
      </text>
    </comment>
    <comment ref="B16" authorId="0">
      <text>
        <r>
          <rPr>
            <b/>
            <sz val="9"/>
            <color indexed="81"/>
            <rFont val="Calibri"/>
            <family val="2"/>
          </rPr>
          <t>Nuevos servidores para cumplir con tiempos de entrega inmediatos y generar nuevas bases de datos</t>
        </r>
      </text>
    </comment>
    <comment ref="H17" authorId="0">
      <text>
        <r>
          <rPr>
            <b/>
            <sz val="9"/>
            <color indexed="81"/>
            <rFont val="Calibri"/>
            <family val="2"/>
          </rPr>
          <t>Fijo +variable por ventas</t>
        </r>
      </text>
    </comment>
    <comment ref="B32" authorId="0">
      <text>
        <r>
          <rPr>
            <sz val="9"/>
            <color indexed="81"/>
            <rFont val="Calibri"/>
            <family val="2"/>
          </rPr>
          <t xml:space="preserve">Porcentaje considerando la inclusión de nuevas y relevantes bases de datos para la generación de productos
</t>
        </r>
      </text>
    </comment>
    <comment ref="B71" authorId="0">
      <text>
        <r>
          <rPr>
            <b/>
            <sz val="9"/>
            <color indexed="81"/>
            <rFont val="Calibri"/>
            <family val="2"/>
          </rPr>
          <t>Encargado de las cuentas: Bancos grandes . Cooresponde a un bono anual pagadero a final del año contra cumplimiento</t>
        </r>
      </text>
    </comment>
    <comment ref="B72" authorId="0">
      <text>
        <r>
          <rPr>
            <b/>
            <sz val="9"/>
            <color indexed="81"/>
            <rFont val="Calibri"/>
            <family val="2"/>
          </rPr>
          <t>Encargado de las cuentas: 
Bancos Medianos y
Bancos Pequeños</t>
        </r>
      </text>
    </comment>
    <comment ref="B104" authorId="0">
      <text>
        <r>
          <rPr>
            <b/>
            <sz val="9"/>
            <color indexed="81"/>
            <rFont val="Calibri"/>
            <family val="2"/>
          </rPr>
          <t>Incluye:
-Luz
-Telefono
-Agua
-Internet
-Limpieza
-Guardiania</t>
        </r>
      </text>
    </comment>
    <comment ref="B105" authorId="0">
      <text>
        <r>
          <rPr>
            <b/>
            <sz val="9"/>
            <color indexed="81"/>
            <rFont val="Calibri"/>
            <family val="2"/>
          </rPr>
          <t>Sobre el porcentaje de ventas</t>
        </r>
      </text>
    </comment>
    <comment ref="E227" authorId="0">
      <text>
        <r>
          <rPr>
            <sz val="9"/>
            <color indexed="81"/>
            <rFont val="Calibri"/>
            <family val="2"/>
          </rPr>
          <t xml:space="preserve">Costo de capital considerando  factores economicos , inflacionarios, riesgo pais y estimado de ganancias
</t>
        </r>
      </text>
    </comment>
    <comment ref="B237" authorId="0">
      <text>
        <r>
          <rPr>
            <b/>
            <sz val="9"/>
            <color indexed="81"/>
            <rFont val="Calibri"/>
            <family val="2"/>
          </rPr>
          <t>Correspondiente a la inclusión de nuevo software para el manejo de base de datos</t>
        </r>
      </text>
    </comment>
    <comment ref="B238" authorId="0">
      <text>
        <r>
          <rPr>
            <b/>
            <sz val="9"/>
            <color indexed="81"/>
            <rFont val="Calibri"/>
            <family val="2"/>
          </rPr>
          <t>Nuevos servidores para cumplir con tiempos de entrega inmediatos y generar nuevas bases de datos</t>
        </r>
      </text>
    </comment>
  </commentList>
</comments>
</file>

<file path=xl/comments2.xml><?xml version="1.0" encoding="utf-8"?>
<comments xmlns="http://schemas.openxmlformats.org/spreadsheetml/2006/main">
  <authors>
    <author>Carlos Diaz</author>
  </authors>
  <commentList>
    <comment ref="B16" authorId="0">
      <text>
        <r>
          <rPr>
            <b/>
            <sz val="9"/>
            <color indexed="81"/>
            <rFont val="Calibri"/>
            <family val="2"/>
          </rPr>
          <t>Correspondiente a la inclusión de nuevo software para el manejo de base de datos</t>
        </r>
      </text>
    </comment>
    <comment ref="B17" authorId="0">
      <text>
        <r>
          <rPr>
            <b/>
            <sz val="9"/>
            <color indexed="81"/>
            <rFont val="Calibri"/>
            <family val="2"/>
          </rPr>
          <t>Nuevos servidores para cumplir con tiempos de entrega inmediatos y generar nuevas bases de datos</t>
        </r>
      </text>
    </comment>
  </commentList>
</comments>
</file>

<file path=xl/sharedStrings.xml><?xml version="1.0" encoding="utf-8"?>
<sst xmlns="http://schemas.openxmlformats.org/spreadsheetml/2006/main" count="358" uniqueCount="206">
  <si>
    <t>Entidad</t>
  </si>
  <si>
    <t>Bancos grandes</t>
  </si>
  <si>
    <t>Bancos pequeños</t>
  </si>
  <si>
    <t>Bancos medianos</t>
  </si>
  <si>
    <t>COAC`s</t>
  </si>
  <si>
    <t>Rubro</t>
  </si>
  <si>
    <t>Monto</t>
  </si>
  <si>
    <t>Software</t>
  </si>
  <si>
    <t>Hardware</t>
  </si>
  <si>
    <t>Inversión Inicial</t>
  </si>
  <si>
    <t>Total</t>
  </si>
  <si>
    <t>-</t>
  </si>
  <si>
    <t>Cargo</t>
  </si>
  <si>
    <t>Cantidad</t>
  </si>
  <si>
    <t>AÑO 1</t>
  </si>
  <si>
    <t>AÑO 2</t>
  </si>
  <si>
    <t>AÑO 3</t>
  </si>
  <si>
    <t>AÑO 4</t>
  </si>
  <si>
    <t>AÑO 5</t>
  </si>
  <si>
    <t>TOTAL CLIENTES ANUAL</t>
  </si>
  <si>
    <t>TOTAL DE VENTAS AÑO</t>
  </si>
  <si>
    <t>COSTOS VARIABLES</t>
  </si>
  <si>
    <t>PRESUPUESTO DE VENTAS ANUALES DOLARES</t>
  </si>
  <si>
    <t>Remuneración/ mes</t>
  </si>
  <si>
    <t>Base</t>
  </si>
  <si>
    <t>Comision Ejecutivo de ventas 1</t>
  </si>
  <si>
    <t>Comisión Gerente G</t>
  </si>
  <si>
    <t>AÑO1</t>
  </si>
  <si>
    <t>Fondos de Reserva Variable</t>
  </si>
  <si>
    <t>Aporte patronal Variable</t>
  </si>
  <si>
    <t>TOTAL COSTOS VARIABLES</t>
  </si>
  <si>
    <t>COSTOS Y GASTOS FIJOS</t>
  </si>
  <si>
    <t>Sueldo Gerente G</t>
  </si>
  <si>
    <t>Sueldo Ejecutivo de ventas 1</t>
  </si>
  <si>
    <t>Sueldo Analista de tecnologia</t>
  </si>
  <si>
    <t>Fondos de reserva fijo</t>
  </si>
  <si>
    <t>Aporte patronal fijo</t>
  </si>
  <si>
    <t xml:space="preserve">Arriendo oficina </t>
  </si>
  <si>
    <t>Gastos por servicios</t>
  </si>
  <si>
    <t xml:space="preserve">Gastos transporte </t>
  </si>
  <si>
    <t>Total Sueldos</t>
  </si>
  <si>
    <t>MES</t>
  </si>
  <si>
    <t>Total Beneficios Sociales</t>
  </si>
  <si>
    <t>Total gastos generales</t>
  </si>
  <si>
    <t>Total beneficios sociales</t>
  </si>
  <si>
    <t>TOTAL COSTOS Y GASTOS FIJOS</t>
  </si>
  <si>
    <t>ESTADO DE PERDIDAS Y GANANCIAS PROYECTADO</t>
  </si>
  <si>
    <t>Ingresos</t>
  </si>
  <si>
    <t>Total ingresos por ventas</t>
  </si>
  <si>
    <t>Otros ingresos</t>
  </si>
  <si>
    <t>Total Ingresos</t>
  </si>
  <si>
    <t>Egresos</t>
  </si>
  <si>
    <t>Total Costos y gastos fijos</t>
  </si>
  <si>
    <t>Total costos variables</t>
  </si>
  <si>
    <t>Gastos Financieros</t>
  </si>
  <si>
    <t>Otros gastos</t>
  </si>
  <si>
    <t>Impuesto a la renta</t>
  </si>
  <si>
    <t>UTILIDAD NETA</t>
  </si>
  <si>
    <t>INVERSIONES REQUERIDAS</t>
  </si>
  <si>
    <t>Gastos gestiones varios</t>
  </si>
  <si>
    <t>Operación Inicial</t>
  </si>
  <si>
    <t>Gastos preoperacionales</t>
  </si>
  <si>
    <t>Capital de trabajo Inicial</t>
  </si>
  <si>
    <t>Pagado</t>
  </si>
  <si>
    <t>Por pagar</t>
  </si>
  <si>
    <t>Plan de Inversiones</t>
  </si>
  <si>
    <t>Implementos/ adecuación oficina</t>
  </si>
  <si>
    <t>Capital de trabajo</t>
  </si>
  <si>
    <t>Depreciación</t>
  </si>
  <si>
    <t>Adecuaciones e implementos oficina</t>
  </si>
  <si>
    <t>Inversión</t>
  </si>
  <si>
    <t>Meses depreciación</t>
  </si>
  <si>
    <t>Esquema de financiamiento</t>
  </si>
  <si>
    <t>Aportes de Capital de trabajo</t>
  </si>
  <si>
    <t>Inversiones requeridas</t>
  </si>
  <si>
    <t>%</t>
  </si>
  <si>
    <t>Financiamiento</t>
  </si>
  <si>
    <t>Inversión total del proyecto</t>
  </si>
  <si>
    <t>Inversión Total directa</t>
  </si>
  <si>
    <t>FLUJO DE EFECTIVO PROYECTADO</t>
  </si>
  <si>
    <t>Fuentes</t>
  </si>
  <si>
    <t>Aportes de capital</t>
  </si>
  <si>
    <t>Total fuentes de fondos</t>
  </si>
  <si>
    <t>Usos</t>
  </si>
  <si>
    <t>Sueldos</t>
  </si>
  <si>
    <t>Aportes IESS</t>
  </si>
  <si>
    <t>Fondos de reserva</t>
  </si>
  <si>
    <t>Arriendo local</t>
  </si>
  <si>
    <t>Gastos Servicios</t>
  </si>
  <si>
    <t>Gastos transporte</t>
  </si>
  <si>
    <t>Participación trabajadores</t>
  </si>
  <si>
    <t>Total usos de fondos</t>
  </si>
  <si>
    <t xml:space="preserve">Total ingresos </t>
  </si>
  <si>
    <t>ComisIones</t>
  </si>
  <si>
    <t>Tasa Referencial</t>
  </si>
  <si>
    <t>Activos Totales</t>
  </si>
  <si>
    <t>Patrimonio</t>
  </si>
  <si>
    <t>Utilidad en ventas</t>
  </si>
  <si>
    <t>Rentabilidad sobre patrimonio</t>
  </si>
  <si>
    <t>Rendimiento de los activos</t>
  </si>
  <si>
    <t>Utilidad neta/ventas</t>
  </si>
  <si>
    <t>Utilidad neta / patrimonio</t>
  </si>
  <si>
    <t>Utilidad neta / Activo Total</t>
  </si>
  <si>
    <t>ROE</t>
  </si>
  <si>
    <t>ROA</t>
  </si>
  <si>
    <t>Ratios de Rentabilidad</t>
  </si>
  <si>
    <t>Crecimiento en ventas %</t>
  </si>
  <si>
    <t>Licencia/anual AÑO 2</t>
  </si>
  <si>
    <t>Licencia/anual AÑO 1</t>
  </si>
  <si>
    <t>Licencia/anual AÑO 3</t>
  </si>
  <si>
    <t>Licencia/anual AÑO 4</t>
  </si>
  <si>
    <t>Licencia/anual AÑO 5</t>
  </si>
  <si>
    <t>ACTIVOS</t>
  </si>
  <si>
    <t>Caja</t>
  </si>
  <si>
    <t>Muebles</t>
  </si>
  <si>
    <t>Equipos</t>
  </si>
  <si>
    <t>PASIVO Y PATRIMONIO</t>
  </si>
  <si>
    <t>Cuentas por Pagar</t>
  </si>
  <si>
    <t>Préstamos Bancarios</t>
  </si>
  <si>
    <t>Préstamos Socios</t>
  </si>
  <si>
    <t>Capital Pagado</t>
  </si>
  <si>
    <t>TOTAL ACTIVOS</t>
  </si>
  <si>
    <t>TOTAL PASIVO Y PATRIMONIO</t>
  </si>
  <si>
    <t>Saldo Inicial</t>
  </si>
  <si>
    <t>Utilidades netas</t>
  </si>
  <si>
    <t>(+) Depreciaciones y Amortizaciones</t>
  </si>
  <si>
    <t>Cambios en Activos Circulantes</t>
  </si>
  <si>
    <t>Cambios en Activos Fijos</t>
  </si>
  <si>
    <t>Cambios en Otros Activos</t>
  </si>
  <si>
    <t>Cambios en Pasivos circulantes</t>
  </si>
  <si>
    <t>Cambios en Pasivos Largo Plazo</t>
  </si>
  <si>
    <t>Cambios en Capital</t>
  </si>
  <si>
    <t>Dividendos Pagados</t>
  </si>
  <si>
    <t>Saldo</t>
  </si>
  <si>
    <t>Cuentas por cobrar</t>
  </si>
  <si>
    <t>BALANCE GENERAL</t>
  </si>
  <si>
    <t>Activo Corriente</t>
  </si>
  <si>
    <t>Total Act. Corriente</t>
  </si>
  <si>
    <t xml:space="preserve">Amort. Acumulada </t>
  </si>
  <si>
    <t xml:space="preserve">Depreciación. Acumulada </t>
  </si>
  <si>
    <t>POSICION DE CAJA</t>
  </si>
  <si>
    <t>Pasivos</t>
  </si>
  <si>
    <t>Activo Fijos</t>
  </si>
  <si>
    <t>Otros activos (software)</t>
  </si>
  <si>
    <t>Total otros activos</t>
  </si>
  <si>
    <t>Activos fijos netos</t>
  </si>
  <si>
    <t>Tipo de Entidad</t>
  </si>
  <si>
    <t>FLUJO NETO DEL PERIODO</t>
  </si>
  <si>
    <t>FLUJO NETO ACUMULADO</t>
  </si>
  <si>
    <t>Incremento Valor Licencia Anual</t>
  </si>
  <si>
    <t>Número de Clientes Anual</t>
  </si>
  <si>
    <t>PRESUPUESTO DE VENTAS ANUALES ( VALOR LICENCIA)</t>
  </si>
  <si>
    <t>PRESUPUESTO DE VENTAS ANUALES (NUMERO DE CONTRATOS)</t>
  </si>
  <si>
    <t>Recursos Humanos</t>
  </si>
  <si>
    <t xml:space="preserve">                                                  AÑO 1</t>
  </si>
  <si>
    <t>Valor actual neto del flujo de fondos del proyecto (VAN)</t>
  </si>
  <si>
    <t>Tasa Interna de Retorno (TIR)</t>
  </si>
  <si>
    <t>Analista de teconología</t>
  </si>
  <si>
    <t>Técnico en Sistemas</t>
  </si>
  <si>
    <t>Gerente General</t>
  </si>
  <si>
    <t>Ejecutivo de Ventas</t>
  </si>
  <si>
    <t>PRESUPUESTO PROYECTO DE TESIS</t>
  </si>
  <si>
    <t>Año 3</t>
  </si>
  <si>
    <t>Año 4</t>
  </si>
  <si>
    <t>Año 5</t>
  </si>
  <si>
    <t>Inversiones Años 3 ,4 y 5</t>
  </si>
  <si>
    <t>Comisión Ejecutivo de ventas 2</t>
  </si>
  <si>
    <t>Sueldo Ejecutivo de Ventas 2</t>
  </si>
  <si>
    <t>Sueldo Técnico en Sistemas</t>
  </si>
  <si>
    <t>Incremento anual Sueldos</t>
  </si>
  <si>
    <t>Total Inversiones 5 años</t>
  </si>
  <si>
    <t>Año2</t>
  </si>
  <si>
    <t>Amortizaciones Activos Diferidos</t>
  </si>
  <si>
    <t>AÑO 0</t>
  </si>
  <si>
    <t>Monto Año 1</t>
  </si>
  <si>
    <t>Año 1</t>
  </si>
  <si>
    <t>Implementos/adecuación Oficina</t>
  </si>
  <si>
    <t>Amortización</t>
  </si>
  <si>
    <t xml:space="preserve">    </t>
  </si>
  <si>
    <t xml:space="preserve">   </t>
  </si>
  <si>
    <t>Equipo de Computo</t>
  </si>
  <si>
    <t>Depreciación Equipo de computo</t>
  </si>
  <si>
    <t xml:space="preserve"> Depreciación Adec. e impl.Of.</t>
  </si>
  <si>
    <t>AÑO  4</t>
  </si>
  <si>
    <t>Variables</t>
  </si>
  <si>
    <t>Margen Neto</t>
  </si>
  <si>
    <t>Periodo de Recuperación de la Inversión</t>
  </si>
  <si>
    <t>Periodo de Recuperación</t>
  </si>
  <si>
    <t>Flujo neto del periodo</t>
  </si>
  <si>
    <t>Flujo neto acumulado</t>
  </si>
  <si>
    <t>Total depreciación periódo</t>
  </si>
  <si>
    <t>Impuesto a la renta (23%)</t>
  </si>
  <si>
    <t>Utilidades acumuladas</t>
  </si>
  <si>
    <t>Comisión por Ventas (Bono anual)</t>
  </si>
  <si>
    <t xml:space="preserve">Gastos gestiones varios </t>
  </si>
  <si>
    <t>Total comisiones (Bonos de cumplimiento)</t>
  </si>
  <si>
    <t>1,44 años</t>
  </si>
  <si>
    <t>Décimo tercer sueldo fijo</t>
  </si>
  <si>
    <t>Décimo cuarto sueldo</t>
  </si>
  <si>
    <t>Décimo tercer sueldo variable</t>
  </si>
  <si>
    <t>Total  Costos y Gastos</t>
  </si>
  <si>
    <t>Utilidad/perdida del Periodo</t>
  </si>
  <si>
    <t>Participación Trabajadores (15%)</t>
  </si>
  <si>
    <t>Décimo tercer sueldo</t>
  </si>
  <si>
    <t>Inversiones Requeridas</t>
  </si>
  <si>
    <t>Utilidades Acumuladas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</si>
</sst>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&quot;$&quot;#,##0.00;[Red]&quot;$&quot;\-#,##0.00"/>
    <numFmt numFmtId="166" formatCode="_ &quot;$&quot;* #,##0.00_ ;_ &quot;$&quot;* \-#,##0.00_ ;_ &quot;$&quot;* &quot;-&quot;??_ ;_ @_ "/>
    <numFmt numFmtId="167" formatCode="_ * #,##0.00_ ;_ * \-#,##0.00_ ;_ * &quot;-&quot;??_ ;_ @_ "/>
    <numFmt numFmtId="168" formatCode="_-[$$-409]* #,##0.00_ ;_-[$$-409]* \-#,##0.00\ ;_-[$$-409]* &quot;-&quot;??_ ;_-@_ "/>
    <numFmt numFmtId="169" formatCode="_(* #,##0_);_(* \(#,##0\);_(* &quot;-&quot;??_);_(@_)"/>
  </numFmts>
  <fonts count="2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indexed="8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0"/>
      <name val="Times New Roman"/>
      <family val="1"/>
    </font>
    <font>
      <b/>
      <i/>
      <sz val="12"/>
      <color theme="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39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2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4">
    <xf numFmtId="0" fontId="0" fillId="0" borderId="0" xfId="0"/>
    <xf numFmtId="168" fontId="0" fillId="0" borderId="3" xfId="0" applyNumberFormat="1" applyBorder="1"/>
    <xf numFmtId="166" fontId="0" fillId="0" borderId="0" xfId="11" applyFont="1"/>
    <xf numFmtId="166" fontId="0" fillId="0" borderId="0" xfId="11" applyFont="1" applyBorder="1"/>
    <xf numFmtId="166" fontId="0" fillId="0" borderId="8" xfId="11" applyFont="1" applyBorder="1"/>
    <xf numFmtId="0" fontId="0" fillId="0" borderId="0" xfId="0" quotePrefix="1"/>
    <xf numFmtId="166" fontId="0" fillId="0" borderId="1" xfId="11" applyFont="1" applyBorder="1"/>
    <xf numFmtId="0" fontId="0" fillId="6" borderId="0" xfId="0" applyFill="1" applyBorder="1"/>
    <xf numFmtId="0" fontId="0" fillId="6" borderId="0" xfId="0" applyFill="1"/>
    <xf numFmtId="168" fontId="0" fillId="0" borderId="21" xfId="0" applyNumberFormat="1" applyBorder="1"/>
    <xf numFmtId="0" fontId="13" fillId="7" borderId="13" xfId="0" applyFont="1" applyFill="1" applyBorder="1"/>
    <xf numFmtId="0" fontId="13" fillId="7" borderId="14" xfId="0" applyFont="1" applyFill="1" applyBorder="1" applyAlignment="1">
      <alignment horizontal="center"/>
    </xf>
    <xf numFmtId="0" fontId="13" fillId="7" borderId="14" xfId="0" applyFont="1" applyFill="1" applyBorder="1"/>
    <xf numFmtId="0" fontId="13" fillId="7" borderId="17" xfId="0" applyFont="1" applyFill="1" applyBorder="1"/>
    <xf numFmtId="0" fontId="0" fillId="9" borderId="24" xfId="0" applyFill="1" applyBorder="1"/>
    <xf numFmtId="0" fontId="0" fillId="9" borderId="25" xfId="0" applyFill="1" applyBorder="1"/>
    <xf numFmtId="0" fontId="0" fillId="9" borderId="26" xfId="0" applyFill="1" applyBorder="1"/>
    <xf numFmtId="0" fontId="0" fillId="10" borderId="20" xfId="0" applyFill="1" applyBorder="1"/>
    <xf numFmtId="0" fontId="0" fillId="10" borderId="2" xfId="0" applyFill="1" applyBorder="1"/>
    <xf numFmtId="166" fontId="0" fillId="0" borderId="21" xfId="11" applyFont="1" applyBorder="1" applyAlignment="1">
      <alignment horizontal="center"/>
    </xf>
    <xf numFmtId="166" fontId="0" fillId="11" borderId="12" xfId="11" applyFont="1" applyFill="1" applyBorder="1"/>
    <xf numFmtId="166" fontId="0" fillId="11" borderId="3" xfId="11" applyFont="1" applyFill="1" applyBorder="1" applyAlignment="1">
      <alignment horizontal="center"/>
    </xf>
    <xf numFmtId="0" fontId="0" fillId="9" borderId="20" xfId="0" applyFill="1" applyBorder="1"/>
    <xf numFmtId="0" fontId="0" fillId="9" borderId="22" xfId="0" applyFill="1" applyBorder="1"/>
    <xf numFmtId="0" fontId="0" fillId="9" borderId="2" xfId="0" applyFill="1" applyBorder="1"/>
    <xf numFmtId="166" fontId="0" fillId="6" borderId="0" xfId="11" applyFont="1" applyFill="1" applyBorder="1"/>
    <xf numFmtId="0" fontId="13" fillId="6" borderId="0" xfId="0" applyFont="1" applyFill="1"/>
    <xf numFmtId="166" fontId="0" fillId="0" borderId="17" xfId="0" applyNumberFormat="1" applyBorder="1"/>
    <xf numFmtId="0" fontId="0" fillId="9" borderId="7" xfId="0" applyFill="1" applyBorder="1"/>
    <xf numFmtId="0" fontId="13" fillId="7" borderId="18" xfId="0" applyFont="1" applyFill="1" applyBorder="1"/>
    <xf numFmtId="0" fontId="0" fillId="7" borderId="14" xfId="0" applyFill="1" applyBorder="1"/>
    <xf numFmtId="9" fontId="0" fillId="0" borderId="17" xfId="0" applyNumberFormat="1" applyBorder="1"/>
    <xf numFmtId="0" fontId="0" fillId="0" borderId="15" xfId="0" applyBorder="1"/>
    <xf numFmtId="0" fontId="13" fillId="7" borderId="17" xfId="0" applyFont="1" applyFill="1" applyBorder="1" applyAlignment="1">
      <alignment horizontal="center"/>
    </xf>
    <xf numFmtId="166" fontId="0" fillId="0" borderId="0" xfId="11" applyFont="1" applyBorder="1" applyAlignment="1">
      <alignment horizontal="center"/>
    </xf>
    <xf numFmtId="166" fontId="0" fillId="0" borderId="8" xfId="11" applyFont="1" applyBorder="1" applyAlignment="1">
      <alignment horizontal="right"/>
    </xf>
    <xf numFmtId="0" fontId="0" fillId="9" borderId="13" xfId="0" quotePrefix="1" applyFill="1" applyBorder="1"/>
    <xf numFmtId="166" fontId="0" fillId="0" borderId="14" xfId="11" applyFont="1" applyBorder="1"/>
    <xf numFmtId="166" fontId="0" fillId="0" borderId="17" xfId="11" applyFont="1" applyBorder="1"/>
    <xf numFmtId="168" fontId="0" fillId="0" borderId="23" xfId="0" applyNumberFormat="1" applyBorder="1"/>
    <xf numFmtId="0" fontId="13" fillId="7" borderId="19" xfId="0" applyFont="1" applyFill="1" applyBorder="1"/>
    <xf numFmtId="9" fontId="0" fillId="6" borderId="0" xfId="0" applyNumberFormat="1" applyFill="1" applyBorder="1"/>
    <xf numFmtId="167" fontId="0" fillId="6" borderId="0" xfId="0" applyNumberFormat="1" applyFill="1"/>
    <xf numFmtId="166" fontId="0" fillId="6" borderId="0" xfId="0" applyNumberFormat="1" applyFill="1"/>
    <xf numFmtId="0" fontId="9" fillId="6" borderId="0" xfId="0" applyFont="1" applyFill="1"/>
    <xf numFmtId="165" fontId="0" fillId="6" borderId="0" xfId="0" applyNumberFormat="1" applyFill="1"/>
    <xf numFmtId="4" fontId="0" fillId="6" borderId="0" xfId="0" applyNumberFormat="1" applyFill="1"/>
    <xf numFmtId="169" fontId="1" fillId="6" borderId="0" xfId="145" applyNumberFormat="1" applyFont="1" applyFill="1"/>
    <xf numFmtId="0" fontId="11" fillId="6" borderId="0" xfId="0" applyFont="1" applyFill="1"/>
    <xf numFmtId="10" fontId="0" fillId="6" borderId="0" xfId="12" applyNumberFormat="1" applyFont="1" applyFill="1"/>
    <xf numFmtId="0" fontId="0" fillId="6" borderId="0" xfId="0" quotePrefix="1" applyFill="1"/>
    <xf numFmtId="0" fontId="13" fillId="6" borderId="0" xfId="0" applyFont="1" applyFill="1" applyBorder="1"/>
    <xf numFmtId="0" fontId="13" fillId="6" borderId="0" xfId="0" applyFont="1" applyFill="1" applyAlignment="1">
      <alignment horizontal="center"/>
    </xf>
    <xf numFmtId="0" fontId="14" fillId="6" borderId="0" xfId="0" applyFont="1" applyFill="1"/>
    <xf numFmtId="0" fontId="15" fillId="6" borderId="0" xfId="1" applyFont="1" applyFill="1" applyBorder="1"/>
    <xf numFmtId="0" fontId="15" fillId="6" borderId="0" xfId="0" applyFont="1" applyFill="1"/>
    <xf numFmtId="0" fontId="16" fillId="6" borderId="0" xfId="0" applyFont="1" applyFill="1"/>
    <xf numFmtId="0" fontId="15" fillId="7" borderId="13" xfId="4" applyFont="1" applyFill="1" applyBorder="1"/>
    <xf numFmtId="0" fontId="15" fillId="7" borderId="17" xfId="4" applyFont="1" applyFill="1" applyBorder="1"/>
    <xf numFmtId="0" fontId="15" fillId="7" borderId="14" xfId="4" applyFont="1" applyFill="1" applyBorder="1"/>
    <xf numFmtId="0" fontId="16" fillId="4" borderId="7" xfId="3" applyFont="1" applyBorder="1"/>
    <xf numFmtId="166" fontId="16" fillId="4" borderId="8" xfId="3" applyNumberFormat="1" applyFont="1" applyBorder="1"/>
    <xf numFmtId="166" fontId="16" fillId="6" borderId="0" xfId="11" applyFont="1" applyFill="1" applyBorder="1"/>
    <xf numFmtId="166" fontId="16" fillId="6" borderId="8" xfId="11" applyFont="1" applyFill="1" applyBorder="1"/>
    <xf numFmtId="0" fontId="17" fillId="10" borderId="7" xfId="0" applyFont="1" applyFill="1" applyBorder="1"/>
    <xf numFmtId="166" fontId="16" fillId="6" borderId="0" xfId="2" applyNumberFormat="1" applyFont="1" applyFill="1" applyBorder="1"/>
    <xf numFmtId="166" fontId="16" fillId="6" borderId="8" xfId="2" applyNumberFormat="1" applyFont="1" applyFill="1" applyBorder="1"/>
    <xf numFmtId="10" fontId="16" fillId="4" borderId="8" xfId="3" applyNumberFormat="1" applyFont="1" applyBorder="1"/>
    <xf numFmtId="168" fontId="16" fillId="6" borderId="0" xfId="0" applyNumberFormat="1" applyFont="1" applyFill="1" applyBorder="1"/>
    <xf numFmtId="168" fontId="16" fillId="6" borderId="8" xfId="0" applyNumberFormat="1" applyFont="1" applyFill="1" applyBorder="1"/>
    <xf numFmtId="0" fontId="16" fillId="4" borderId="8" xfId="3" applyFont="1" applyBorder="1"/>
    <xf numFmtId="0" fontId="16" fillId="4" borderId="9" xfId="3" applyFont="1" applyBorder="1"/>
    <xf numFmtId="0" fontId="16" fillId="4" borderId="11" xfId="3" applyFont="1" applyBorder="1"/>
    <xf numFmtId="166" fontId="16" fillId="6" borderId="10" xfId="0" applyNumberFormat="1" applyFont="1" applyFill="1" applyBorder="1"/>
    <xf numFmtId="166" fontId="16" fillId="6" borderId="11" xfId="0" applyNumberFormat="1" applyFont="1" applyFill="1" applyBorder="1"/>
    <xf numFmtId="0" fontId="18" fillId="4" borderId="9" xfId="3" applyFont="1" applyBorder="1"/>
    <xf numFmtId="0" fontId="18" fillId="4" borderId="11" xfId="3" applyFont="1" applyBorder="1"/>
    <xf numFmtId="166" fontId="18" fillId="3" borderId="10" xfId="2" applyNumberFormat="1" applyFont="1" applyBorder="1"/>
    <xf numFmtId="166" fontId="18" fillId="3" borderId="11" xfId="2" applyNumberFormat="1" applyFont="1" applyBorder="1"/>
    <xf numFmtId="0" fontId="18" fillId="7" borderId="13" xfId="146" applyFont="1" applyFill="1" applyBorder="1" applyAlignment="1">
      <alignment horizontal="center"/>
    </xf>
    <xf numFmtId="0" fontId="16" fillId="7" borderId="17" xfId="0" applyFont="1" applyFill="1" applyBorder="1"/>
    <xf numFmtId="0" fontId="18" fillId="7" borderId="13" xfId="0" applyFont="1" applyFill="1" applyBorder="1"/>
    <xf numFmtId="0" fontId="18" fillId="7" borderId="14" xfId="0" applyFont="1" applyFill="1" applyBorder="1" applyAlignment="1">
      <alignment horizontal="center"/>
    </xf>
    <xf numFmtId="0" fontId="18" fillId="7" borderId="14" xfId="0" applyFont="1" applyFill="1" applyBorder="1"/>
    <xf numFmtId="0" fontId="18" fillId="7" borderId="17" xfId="0" applyFont="1" applyFill="1" applyBorder="1"/>
    <xf numFmtId="0" fontId="16" fillId="0" borderId="0" xfId="0" applyFont="1"/>
    <xf numFmtId="0" fontId="18" fillId="6" borderId="0" xfId="0" applyFont="1" applyFill="1"/>
    <xf numFmtId="0" fontId="19" fillId="6" borderId="0" xfId="0" applyFont="1" applyFill="1"/>
    <xf numFmtId="0" fontId="16" fillId="6" borderId="0" xfId="0" applyFont="1" applyFill="1" applyBorder="1"/>
    <xf numFmtId="0" fontId="15" fillId="2" borderId="13" xfId="1" applyFont="1" applyBorder="1"/>
    <xf numFmtId="0" fontId="15" fillId="2" borderId="14" xfId="1" applyFont="1" applyBorder="1"/>
    <xf numFmtId="0" fontId="15" fillId="2" borderId="17" xfId="1" applyFont="1" applyBorder="1"/>
    <xf numFmtId="0" fontId="18" fillId="7" borderId="17" xfId="0" applyFont="1" applyFill="1" applyBorder="1" applyAlignment="1">
      <alignment horizontal="center"/>
    </xf>
    <xf numFmtId="0" fontId="17" fillId="6" borderId="0" xfId="0" applyFont="1" applyFill="1" applyBorder="1"/>
    <xf numFmtId="168" fontId="17" fillId="6" borderId="8" xfId="0" applyNumberFormat="1" applyFont="1" applyFill="1" applyBorder="1"/>
    <xf numFmtId="0" fontId="16" fillId="9" borderId="13" xfId="0" quotePrefix="1" applyFont="1" applyFill="1" applyBorder="1"/>
    <xf numFmtId="0" fontId="17" fillId="6" borderId="10" xfId="0" applyFont="1" applyFill="1" applyBorder="1"/>
    <xf numFmtId="168" fontId="17" fillId="6" borderId="11" xfId="0" applyNumberFormat="1" applyFont="1" applyFill="1" applyBorder="1"/>
    <xf numFmtId="0" fontId="16" fillId="6" borderId="0" xfId="0" quotePrefix="1" applyFont="1" applyFill="1"/>
    <xf numFmtId="166" fontId="16" fillId="0" borderId="17" xfId="0" applyNumberFormat="1" applyFont="1" applyBorder="1"/>
    <xf numFmtId="0" fontId="17" fillId="2" borderId="13" xfId="1" applyFont="1" applyBorder="1"/>
    <xf numFmtId="0" fontId="20" fillId="2" borderId="14" xfId="1" applyFont="1" applyBorder="1"/>
    <xf numFmtId="9" fontId="16" fillId="0" borderId="3" xfId="0" applyNumberFormat="1" applyFont="1" applyBorder="1"/>
    <xf numFmtId="0" fontId="15" fillId="7" borderId="27" xfId="0" applyFont="1" applyFill="1" applyBorder="1"/>
    <xf numFmtId="0" fontId="15" fillId="7" borderId="5" xfId="0" applyFont="1" applyFill="1" applyBorder="1" applyAlignment="1">
      <alignment horizontal="center"/>
    </xf>
    <xf numFmtId="0" fontId="15" fillId="7" borderId="6" xfId="0" applyFont="1" applyFill="1" applyBorder="1" applyAlignment="1">
      <alignment horizontal="center"/>
    </xf>
    <xf numFmtId="0" fontId="16" fillId="9" borderId="28" xfId="0" applyFont="1" applyFill="1" applyBorder="1"/>
    <xf numFmtId="0" fontId="16" fillId="6" borderId="0" xfId="0" applyFont="1" applyFill="1" applyBorder="1" applyAlignment="1">
      <alignment horizontal="center"/>
    </xf>
    <xf numFmtId="10" fontId="16" fillId="6" borderId="0" xfId="0" applyNumberFormat="1" applyFont="1" applyFill="1" applyBorder="1" applyAlignment="1">
      <alignment horizontal="center"/>
    </xf>
    <xf numFmtId="10" fontId="16" fillId="6" borderId="8" xfId="0" applyNumberFormat="1" applyFont="1" applyFill="1" applyBorder="1" applyAlignment="1">
      <alignment horizontal="center"/>
    </xf>
    <xf numFmtId="0" fontId="16" fillId="9" borderId="16" xfId="0" applyFont="1" applyFill="1" applyBorder="1"/>
    <xf numFmtId="0" fontId="16" fillId="6" borderId="10" xfId="0" applyFont="1" applyFill="1" applyBorder="1" applyAlignment="1">
      <alignment horizontal="center"/>
    </xf>
    <xf numFmtId="1" fontId="16" fillId="6" borderId="10" xfId="0" applyNumberFormat="1" applyFont="1" applyFill="1" applyBorder="1" applyAlignment="1">
      <alignment horizontal="center"/>
    </xf>
    <xf numFmtId="1" fontId="16" fillId="6" borderId="11" xfId="0" applyNumberFormat="1" applyFont="1" applyFill="1" applyBorder="1" applyAlignment="1">
      <alignment horizontal="center"/>
    </xf>
    <xf numFmtId="10" fontId="16" fillId="6" borderId="0" xfId="0" applyNumberFormat="1" applyFont="1" applyFill="1"/>
    <xf numFmtId="166" fontId="18" fillId="6" borderId="0" xfId="11" applyFont="1" applyFill="1"/>
    <xf numFmtId="166" fontId="16" fillId="6" borderId="0" xfId="11" applyFont="1" applyFill="1"/>
    <xf numFmtId="166" fontId="15" fillId="7" borderId="15" xfId="11" applyFont="1" applyFill="1" applyBorder="1"/>
    <xf numFmtId="166" fontId="15" fillId="7" borderId="14" xfId="11" applyFont="1" applyFill="1" applyBorder="1"/>
    <xf numFmtId="166" fontId="15" fillId="7" borderId="17" xfId="11" applyFont="1" applyFill="1" applyBorder="1"/>
    <xf numFmtId="0" fontId="20" fillId="6" borderId="0" xfId="1" applyFont="1" applyFill="1" applyBorder="1"/>
    <xf numFmtId="166" fontId="16" fillId="4" borderId="28" xfId="11" applyFont="1" applyFill="1" applyBorder="1"/>
    <xf numFmtId="168" fontId="16" fillId="6" borderId="0" xfId="11" applyNumberFormat="1" applyFont="1" applyFill="1" applyBorder="1" applyAlignment="1">
      <alignment horizontal="center"/>
    </xf>
    <xf numFmtId="168" fontId="16" fillId="6" borderId="8" xfId="11" applyNumberFormat="1" applyFont="1" applyFill="1" applyBorder="1" applyAlignment="1">
      <alignment horizontal="center"/>
    </xf>
    <xf numFmtId="166" fontId="16" fillId="4" borderId="16" xfId="11" applyFont="1" applyFill="1" applyBorder="1"/>
    <xf numFmtId="168" fontId="16" fillId="6" borderId="10" xfId="11" applyNumberFormat="1" applyFont="1" applyFill="1" applyBorder="1" applyAlignment="1">
      <alignment horizontal="center"/>
    </xf>
    <xf numFmtId="168" fontId="16" fillId="6" borderId="11" xfId="11" applyNumberFormat="1" applyFont="1" applyFill="1" applyBorder="1" applyAlignment="1">
      <alignment horizontal="center"/>
    </xf>
    <xf numFmtId="9" fontId="16" fillId="6" borderId="0" xfId="0" applyNumberFormat="1" applyFont="1" applyFill="1" applyBorder="1"/>
    <xf numFmtId="0" fontId="15" fillId="6" borderId="0" xfId="1" applyFont="1" applyFill="1"/>
    <xf numFmtId="0" fontId="15" fillId="7" borderId="15" xfId="1" applyFont="1" applyFill="1" applyBorder="1"/>
    <xf numFmtId="0" fontId="15" fillId="7" borderId="14" xfId="1" applyFont="1" applyFill="1" applyBorder="1"/>
    <xf numFmtId="0" fontId="15" fillId="7" borderId="17" xfId="1" applyFont="1" applyFill="1" applyBorder="1"/>
    <xf numFmtId="0" fontId="19" fillId="4" borderId="28" xfId="3" applyFont="1" applyBorder="1"/>
    <xf numFmtId="0" fontId="19" fillId="6" borderId="0" xfId="0" applyFont="1" applyFill="1" applyBorder="1" applyAlignment="1">
      <alignment horizontal="center"/>
    </xf>
    <xf numFmtId="1" fontId="19" fillId="6" borderId="0" xfId="0" applyNumberFormat="1" applyFont="1" applyFill="1" applyBorder="1" applyAlignment="1">
      <alignment horizontal="center"/>
    </xf>
    <xf numFmtId="1" fontId="19" fillId="6" borderId="8" xfId="0" applyNumberFormat="1" applyFont="1" applyFill="1" applyBorder="1" applyAlignment="1">
      <alignment horizontal="center"/>
    </xf>
    <xf numFmtId="0" fontId="19" fillId="4" borderId="16" xfId="3" applyFont="1" applyBorder="1"/>
    <xf numFmtId="0" fontId="19" fillId="6" borderId="10" xfId="0" applyFont="1" applyFill="1" applyBorder="1" applyAlignment="1">
      <alignment horizontal="center"/>
    </xf>
    <xf numFmtId="1" fontId="19" fillId="6" borderId="10" xfId="0" applyNumberFormat="1" applyFont="1" applyFill="1" applyBorder="1" applyAlignment="1">
      <alignment horizontal="center"/>
    </xf>
    <xf numFmtId="1" fontId="19" fillId="6" borderId="11" xfId="0" applyNumberFormat="1" applyFont="1" applyFill="1" applyBorder="1" applyAlignment="1">
      <alignment horizontal="center"/>
    </xf>
    <xf numFmtId="0" fontId="19" fillId="3" borderId="10" xfId="2" applyFont="1" applyBorder="1" applyAlignment="1">
      <alignment horizontal="center"/>
    </xf>
    <xf numFmtId="1" fontId="19" fillId="3" borderId="10" xfId="2" applyNumberFormat="1" applyFont="1" applyBorder="1" applyAlignment="1">
      <alignment horizontal="center"/>
    </xf>
    <xf numFmtId="1" fontId="19" fillId="3" borderId="11" xfId="2" applyNumberFormat="1" applyFont="1" applyBorder="1" applyAlignment="1">
      <alignment horizontal="center"/>
    </xf>
    <xf numFmtId="168" fontId="16" fillId="6" borderId="0" xfId="0" applyNumberFormat="1" applyFont="1" applyFill="1"/>
    <xf numFmtId="168" fontId="15" fillId="6" borderId="0" xfId="1" applyNumberFormat="1" applyFont="1" applyFill="1" applyBorder="1"/>
    <xf numFmtId="0" fontId="15" fillId="6" borderId="0" xfId="0" applyFont="1" applyFill="1" applyBorder="1"/>
    <xf numFmtId="0" fontId="15" fillId="7" borderId="14" xfId="1" applyFont="1" applyFill="1" applyBorder="1" applyAlignment="1">
      <alignment horizontal="right"/>
    </xf>
    <xf numFmtId="0" fontId="15" fillId="7" borderId="17" xfId="1" applyFont="1" applyFill="1" applyBorder="1" applyAlignment="1">
      <alignment horizontal="right"/>
    </xf>
    <xf numFmtId="0" fontId="16" fillId="4" borderId="28" xfId="3" applyFont="1" applyBorder="1"/>
    <xf numFmtId="168" fontId="16" fillId="6" borderId="0" xfId="0" applyNumberFormat="1" applyFont="1" applyFill="1" applyBorder="1" applyAlignment="1"/>
    <xf numFmtId="168" fontId="16" fillId="6" borderId="8" xfId="0" applyNumberFormat="1" applyFont="1" applyFill="1" applyBorder="1" applyAlignment="1"/>
    <xf numFmtId="0" fontId="16" fillId="4" borderId="16" xfId="3" applyFont="1" applyBorder="1"/>
    <xf numFmtId="168" fontId="16" fillId="6" borderId="10" xfId="0" applyNumberFormat="1" applyFont="1" applyFill="1" applyBorder="1" applyAlignment="1"/>
    <xf numFmtId="168" fontId="16" fillId="6" borderId="11" xfId="0" applyNumberFormat="1" applyFont="1" applyFill="1" applyBorder="1" applyAlignment="1"/>
    <xf numFmtId="0" fontId="15" fillId="4" borderId="16" xfId="3" applyFont="1" applyBorder="1"/>
    <xf numFmtId="168" fontId="15" fillId="3" borderId="10" xfId="2" applyNumberFormat="1" applyFont="1" applyBorder="1" applyAlignment="1"/>
    <xf numFmtId="168" fontId="15" fillId="3" borderId="11" xfId="2" applyNumberFormat="1" applyFont="1" applyBorder="1" applyAlignment="1"/>
    <xf numFmtId="0" fontId="16" fillId="6" borderId="7" xfId="0" applyFont="1" applyFill="1" applyBorder="1"/>
    <xf numFmtId="0" fontId="16" fillId="6" borderId="14" xfId="0" applyFont="1" applyFill="1" applyBorder="1"/>
    <xf numFmtId="9" fontId="16" fillId="6" borderId="14" xfId="12" applyFont="1" applyFill="1" applyBorder="1"/>
    <xf numFmtId="9" fontId="16" fillId="6" borderId="17" xfId="12" applyFont="1" applyFill="1" applyBorder="1"/>
    <xf numFmtId="0" fontId="15" fillId="7" borderId="15" xfId="4" applyFont="1" applyFill="1" applyBorder="1"/>
    <xf numFmtId="0" fontId="15" fillId="7" borderId="14" xfId="4" applyFont="1" applyFill="1" applyBorder="1" applyAlignment="1">
      <alignment horizontal="right"/>
    </xf>
    <xf numFmtId="0" fontId="15" fillId="7" borderId="17" xfId="4" applyFont="1" applyFill="1" applyBorder="1" applyAlignment="1">
      <alignment horizontal="right"/>
    </xf>
    <xf numFmtId="168" fontId="16" fillId="6" borderId="0" xfId="2" applyNumberFormat="1" applyFont="1" applyFill="1" applyBorder="1"/>
    <xf numFmtId="168" fontId="16" fillId="6" borderId="8" xfId="2" applyNumberFormat="1" applyFont="1" applyFill="1" applyBorder="1"/>
    <xf numFmtId="2" fontId="16" fillId="6" borderId="0" xfId="0" applyNumberFormat="1" applyFont="1" applyFill="1" applyBorder="1"/>
    <xf numFmtId="0" fontId="16" fillId="6" borderId="10" xfId="0" applyFont="1" applyFill="1" applyBorder="1"/>
    <xf numFmtId="0" fontId="16" fillId="6" borderId="11" xfId="0" applyFont="1" applyFill="1" applyBorder="1"/>
    <xf numFmtId="168" fontId="18" fillId="3" borderId="10" xfId="2" applyNumberFormat="1" applyFont="1" applyBorder="1"/>
    <xf numFmtId="168" fontId="18" fillId="3" borderId="11" xfId="2" applyNumberFormat="1" applyFont="1" applyBorder="1"/>
    <xf numFmtId="0" fontId="15" fillId="0" borderId="0" xfId="1" applyFont="1" applyFill="1"/>
    <xf numFmtId="0" fontId="21" fillId="6" borderId="0" xfId="1" applyNumberFormat="1" applyFont="1" applyFill="1"/>
    <xf numFmtId="0" fontId="15" fillId="7" borderId="5" xfId="4" applyFont="1" applyFill="1" applyBorder="1"/>
    <xf numFmtId="0" fontId="15" fillId="7" borderId="6" xfId="4" applyFont="1" applyFill="1" applyBorder="1"/>
    <xf numFmtId="166" fontId="16" fillId="6" borderId="5" xfId="11" applyFont="1" applyFill="1" applyBorder="1"/>
    <xf numFmtId="166" fontId="16" fillId="6" borderId="6" xfId="11" applyFont="1" applyFill="1" applyBorder="1"/>
    <xf numFmtId="164" fontId="16" fillId="6" borderId="0" xfId="11" applyNumberFormat="1" applyFont="1" applyFill="1" applyBorder="1"/>
    <xf numFmtId="166" fontId="16" fillId="6" borderId="10" xfId="11" applyFont="1" applyFill="1" applyBorder="1"/>
    <xf numFmtId="166" fontId="16" fillId="6" borderId="11" xfId="11" applyFont="1" applyFill="1" applyBorder="1"/>
    <xf numFmtId="0" fontId="18" fillId="4" borderId="16" xfId="3" applyFont="1" applyBorder="1"/>
    <xf numFmtId="164" fontId="18" fillId="3" borderId="10" xfId="2" applyNumberFormat="1" applyFont="1" applyBorder="1"/>
    <xf numFmtId="0" fontId="18" fillId="4" borderId="13" xfId="3" applyFont="1" applyBorder="1"/>
    <xf numFmtId="164" fontId="16" fillId="10" borderId="14" xfId="0" applyNumberFormat="1" applyFont="1" applyFill="1" applyBorder="1"/>
    <xf numFmtId="166" fontId="16" fillId="10" borderId="14" xfId="0" applyNumberFormat="1" applyFont="1" applyFill="1" applyBorder="1"/>
    <xf numFmtId="166" fontId="16" fillId="10" borderId="17" xfId="0" applyNumberFormat="1" applyFont="1" applyFill="1" applyBorder="1"/>
    <xf numFmtId="167" fontId="16" fillId="6" borderId="0" xfId="0" applyNumberFormat="1" applyFont="1" applyFill="1"/>
    <xf numFmtId="0" fontId="15" fillId="7" borderId="13" xfId="1" applyFont="1" applyFill="1" applyBorder="1"/>
    <xf numFmtId="0" fontId="19" fillId="4" borderId="7" xfId="3" applyFont="1" applyBorder="1"/>
    <xf numFmtId="0" fontId="16" fillId="6" borderId="8" xfId="0" applyFont="1" applyFill="1" applyBorder="1"/>
    <xf numFmtId="164" fontId="16" fillId="6" borderId="0" xfId="145" applyFont="1" applyFill="1" applyBorder="1"/>
    <xf numFmtId="166" fontId="16" fillId="6" borderId="0" xfId="0" applyNumberFormat="1" applyFont="1" applyFill="1" applyBorder="1"/>
    <xf numFmtId="166" fontId="16" fillId="6" borderId="8" xfId="0" applyNumberFormat="1" applyFont="1" applyFill="1" applyBorder="1"/>
    <xf numFmtId="164" fontId="16" fillId="4" borderId="8" xfId="3" applyNumberFormat="1" applyFont="1" applyBorder="1"/>
    <xf numFmtId="166" fontId="16" fillId="3" borderId="0" xfId="2" applyNumberFormat="1" applyFont="1" applyBorder="1"/>
    <xf numFmtId="166" fontId="16" fillId="3" borderId="8" xfId="2" applyNumberFormat="1" applyFont="1" applyBorder="1"/>
    <xf numFmtId="166" fontId="16" fillId="6" borderId="0" xfId="0" applyNumberFormat="1" applyFont="1" applyFill="1"/>
    <xf numFmtId="0" fontId="18" fillId="7" borderId="15" xfId="1" applyFont="1" applyFill="1" applyBorder="1"/>
    <xf numFmtId="0" fontId="18" fillId="7" borderId="14" xfId="1" applyFont="1" applyFill="1" applyBorder="1" applyAlignment="1">
      <alignment horizontal="right"/>
    </xf>
    <xf numFmtId="0" fontId="18" fillId="7" borderId="17" xfId="1" applyFont="1" applyFill="1" applyBorder="1" applyAlignment="1">
      <alignment horizontal="right"/>
    </xf>
    <xf numFmtId="0" fontId="16" fillId="10" borderId="28" xfId="0" applyFont="1" applyFill="1" applyBorder="1"/>
    <xf numFmtId="164" fontId="16" fillId="11" borderId="0" xfId="145" applyFont="1" applyFill="1" applyBorder="1"/>
    <xf numFmtId="0" fontId="19" fillId="10" borderId="28" xfId="0" applyFont="1" applyFill="1" applyBorder="1"/>
    <xf numFmtId="0" fontId="16" fillId="0" borderId="8" xfId="0" applyFont="1" applyBorder="1"/>
    <xf numFmtId="168" fontId="16" fillId="11" borderId="0" xfId="145" applyNumberFormat="1" applyFont="1" applyFill="1" applyBorder="1" applyAlignment="1">
      <alignment horizontal="center"/>
    </xf>
    <xf numFmtId="168" fontId="16" fillId="6" borderId="0" xfId="145" applyNumberFormat="1" applyFont="1" applyFill="1" applyBorder="1" applyAlignment="1">
      <alignment horizontal="center"/>
    </xf>
    <xf numFmtId="168" fontId="16" fillId="6" borderId="8" xfId="145" applyNumberFormat="1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164" fontId="16" fillId="6" borderId="0" xfId="145" applyNumberFormat="1" applyFont="1" applyFill="1" applyBorder="1" applyAlignment="1">
      <alignment horizontal="center"/>
    </xf>
    <xf numFmtId="164" fontId="16" fillId="6" borderId="8" xfId="145" applyNumberFormat="1" applyFont="1" applyFill="1" applyBorder="1" applyAlignment="1">
      <alignment horizontal="center"/>
    </xf>
    <xf numFmtId="0" fontId="16" fillId="10" borderId="16" xfId="0" applyFont="1" applyFill="1" applyBorder="1"/>
    <xf numFmtId="168" fontId="16" fillId="11" borderId="10" xfId="145" applyNumberFormat="1" applyFont="1" applyFill="1" applyBorder="1" applyAlignment="1">
      <alignment horizontal="center"/>
    </xf>
    <xf numFmtId="168" fontId="16" fillId="6" borderId="10" xfId="145" applyNumberFormat="1" applyFont="1" applyFill="1" applyBorder="1" applyAlignment="1">
      <alignment horizontal="center"/>
    </xf>
    <xf numFmtId="168" fontId="16" fillId="6" borderId="11" xfId="145" applyNumberFormat="1" applyFont="1" applyFill="1" applyBorder="1" applyAlignment="1">
      <alignment horizontal="center"/>
    </xf>
    <xf numFmtId="0" fontId="16" fillId="10" borderId="27" xfId="0" applyFont="1" applyFill="1" applyBorder="1"/>
    <xf numFmtId="168" fontId="16" fillId="11" borderId="5" xfId="145" applyNumberFormat="1" applyFont="1" applyFill="1" applyBorder="1" applyAlignment="1">
      <alignment horizontal="center"/>
    </xf>
    <xf numFmtId="168" fontId="16" fillId="6" borderId="5" xfId="145" applyNumberFormat="1" applyFont="1" applyFill="1" applyBorder="1" applyAlignment="1">
      <alignment horizontal="center"/>
    </xf>
    <xf numFmtId="168" fontId="16" fillId="6" borderId="6" xfId="145" applyNumberFormat="1" applyFont="1" applyFill="1" applyBorder="1" applyAlignment="1">
      <alignment horizontal="center"/>
    </xf>
    <xf numFmtId="164" fontId="16" fillId="6" borderId="10" xfId="145" applyNumberFormat="1" applyFont="1" applyFill="1" applyBorder="1" applyAlignment="1">
      <alignment horizontal="center"/>
    </xf>
    <xf numFmtId="0" fontId="19" fillId="10" borderId="16" xfId="0" applyFont="1" applyFill="1" applyBorder="1"/>
    <xf numFmtId="164" fontId="16" fillId="6" borderId="0" xfId="145" applyFont="1" applyFill="1"/>
    <xf numFmtId="164" fontId="18" fillId="7" borderId="14" xfId="145" applyFont="1" applyFill="1" applyBorder="1" applyAlignment="1">
      <alignment horizontal="right"/>
    </xf>
    <xf numFmtId="164" fontId="18" fillId="7" borderId="17" xfId="145" applyFont="1" applyFill="1" applyBorder="1" applyAlignment="1">
      <alignment horizontal="right"/>
    </xf>
    <xf numFmtId="0" fontId="22" fillId="10" borderId="28" xfId="0" applyFont="1" applyFill="1" applyBorder="1"/>
    <xf numFmtId="164" fontId="23" fillId="6" borderId="0" xfId="145" applyFont="1" applyFill="1" applyBorder="1" applyAlignment="1">
      <alignment horizontal="center"/>
    </xf>
    <xf numFmtId="164" fontId="16" fillId="6" borderId="8" xfId="0" applyNumberFormat="1" applyFont="1" applyFill="1" applyBorder="1"/>
    <xf numFmtId="0" fontId="17" fillId="10" borderId="28" xfId="0" applyFont="1" applyFill="1" applyBorder="1"/>
    <xf numFmtId="164" fontId="16" fillId="6" borderId="8" xfId="145" applyFont="1" applyFill="1" applyBorder="1"/>
    <xf numFmtId="169" fontId="24" fillId="10" borderId="28" xfId="145" applyNumberFormat="1" applyFont="1" applyFill="1" applyBorder="1"/>
    <xf numFmtId="164" fontId="25" fillId="6" borderId="0" xfId="145" applyFont="1" applyFill="1" applyBorder="1"/>
    <xf numFmtId="0" fontId="22" fillId="10" borderId="15" xfId="0" applyFont="1" applyFill="1" applyBorder="1"/>
    <xf numFmtId="164" fontId="23" fillId="10" borderId="14" xfId="145" applyFont="1" applyFill="1" applyBorder="1"/>
    <xf numFmtId="164" fontId="23" fillId="10" borderId="17" xfId="145" applyFont="1" applyFill="1" applyBorder="1"/>
    <xf numFmtId="0" fontId="17" fillId="2" borderId="4" xfId="1" applyFont="1" applyBorder="1"/>
    <xf numFmtId="0" fontId="17" fillId="2" borderId="5" xfId="1" applyFont="1" applyBorder="1"/>
    <xf numFmtId="0" fontId="20" fillId="5" borderId="5" xfId="4" applyFont="1" applyBorder="1"/>
    <xf numFmtId="9" fontId="16" fillId="5" borderId="6" xfId="4" applyNumberFormat="1" applyFont="1" applyBorder="1"/>
    <xf numFmtId="0" fontId="17" fillId="2" borderId="7" xfId="1" applyFont="1" applyBorder="1"/>
    <xf numFmtId="0" fontId="17" fillId="2" borderId="0" xfId="1" applyFont="1" applyBorder="1"/>
    <xf numFmtId="0" fontId="20" fillId="5" borderId="0" xfId="4" applyFont="1" applyBorder="1"/>
    <xf numFmtId="166" fontId="16" fillId="5" borderId="8" xfId="4" applyNumberFormat="1" applyFont="1" applyBorder="1"/>
    <xf numFmtId="0" fontId="26" fillId="2" borderId="7" xfId="1" applyFont="1" applyBorder="1"/>
    <xf numFmtId="0" fontId="16" fillId="5" borderId="0" xfId="4" applyFont="1" applyBorder="1"/>
    <xf numFmtId="166" fontId="16" fillId="5" borderId="8" xfId="11" applyNumberFormat="1" applyFont="1" applyFill="1" applyBorder="1"/>
    <xf numFmtId="165" fontId="16" fillId="6" borderId="0" xfId="0" applyNumberFormat="1" applyFont="1" applyFill="1"/>
    <xf numFmtId="0" fontId="19" fillId="2" borderId="13" xfId="1" applyFont="1" applyBorder="1"/>
    <xf numFmtId="0" fontId="19" fillId="2" borderId="14" xfId="1" applyFont="1" applyBorder="1"/>
    <xf numFmtId="10" fontId="19" fillId="2" borderId="17" xfId="1" applyNumberFormat="1" applyFont="1" applyBorder="1"/>
    <xf numFmtId="9" fontId="16" fillId="6" borderId="0" xfId="0" applyNumberFormat="1" applyFont="1" applyFill="1"/>
    <xf numFmtId="0" fontId="16" fillId="10" borderId="4" xfId="0" applyFont="1" applyFill="1" applyBorder="1"/>
    <xf numFmtId="0" fontId="16" fillId="10" borderId="6" xfId="0" applyFont="1" applyFill="1" applyBorder="1"/>
    <xf numFmtId="166" fontId="16" fillId="10" borderId="9" xfId="11" applyFont="1" applyFill="1" applyBorder="1"/>
    <xf numFmtId="166" fontId="16" fillId="10" borderId="11" xfId="11" applyFont="1" applyFill="1" applyBorder="1"/>
    <xf numFmtId="0" fontId="16" fillId="7" borderId="14" xfId="0" applyFont="1" applyFill="1" applyBorder="1"/>
    <xf numFmtId="166" fontId="16" fillId="6" borderId="0" xfId="11" applyFont="1" applyFill="1" applyBorder="1" applyAlignment="1">
      <alignment horizontal="center"/>
    </xf>
    <xf numFmtId="166" fontId="16" fillId="6" borderId="8" xfId="11" applyFont="1" applyFill="1" applyBorder="1" applyAlignment="1">
      <alignment horizontal="right"/>
    </xf>
    <xf numFmtId="0" fontId="20" fillId="6" borderId="0" xfId="0" applyFont="1" applyFill="1"/>
    <xf numFmtId="166" fontId="16" fillId="6" borderId="14" xfId="11" applyFont="1" applyFill="1" applyBorder="1"/>
    <xf numFmtId="166" fontId="16" fillId="6" borderId="17" xfId="11" applyFont="1" applyFill="1" applyBorder="1"/>
    <xf numFmtId="0" fontId="20" fillId="6" borderId="0" xfId="0" quotePrefix="1" applyFont="1" applyFill="1"/>
    <xf numFmtId="0" fontId="16" fillId="4" borderId="10" xfId="3" applyFont="1" applyBorder="1"/>
    <xf numFmtId="0" fontId="16" fillId="4" borderId="15" xfId="3" applyFont="1" applyBorder="1"/>
    <xf numFmtId="0" fontId="16" fillId="6" borderId="0" xfId="3" applyFont="1" applyFill="1" applyBorder="1"/>
    <xf numFmtId="0" fontId="16" fillId="6" borderId="0" xfId="2" applyFont="1" applyFill="1" applyBorder="1"/>
    <xf numFmtId="0" fontId="20" fillId="2" borderId="17" xfId="1" applyFont="1" applyBorder="1"/>
    <xf numFmtId="0" fontId="18" fillId="7" borderId="13" xfId="0" applyFont="1" applyFill="1" applyBorder="1" applyAlignment="1">
      <alignment horizontal="left"/>
    </xf>
    <xf numFmtId="0" fontId="16" fillId="7" borderId="14" xfId="0" applyFont="1" applyFill="1" applyBorder="1" applyAlignment="1">
      <alignment horizontal="left"/>
    </xf>
    <xf numFmtId="164" fontId="16" fillId="6" borderId="0" xfId="3" applyNumberFormat="1" applyFont="1" applyFill="1" applyBorder="1"/>
    <xf numFmtId="164" fontId="16" fillId="6" borderId="8" xfId="3" applyNumberFormat="1" applyFont="1" applyFill="1" applyBorder="1"/>
    <xf numFmtId="0" fontId="18" fillId="6" borderId="0" xfId="3" applyFont="1" applyFill="1" applyBorder="1"/>
    <xf numFmtId="4" fontId="16" fillId="6" borderId="0" xfId="0" applyNumberFormat="1" applyFont="1" applyFill="1" applyBorder="1"/>
    <xf numFmtId="0" fontId="16" fillId="6" borderId="0" xfId="0" applyFont="1" applyFill="1" applyAlignment="1">
      <alignment horizontal="center"/>
    </xf>
    <xf numFmtId="166" fontId="16" fillId="6" borderId="14" xfId="11" applyFont="1" applyFill="1" applyBorder="1" applyAlignment="1">
      <alignment horizontal="center"/>
    </xf>
    <xf numFmtId="166" fontId="16" fillId="6" borderId="8" xfId="11" applyFont="1" applyFill="1" applyBorder="1" applyAlignment="1">
      <alignment horizontal="center"/>
    </xf>
    <xf numFmtId="0" fontId="18" fillId="2" borderId="6" xfId="1" applyFont="1" applyBorder="1"/>
    <xf numFmtId="0" fontId="18" fillId="2" borderId="27" xfId="1" applyFont="1" applyBorder="1"/>
    <xf numFmtId="0" fontId="16" fillId="5" borderId="28" xfId="4" applyFont="1" applyBorder="1"/>
    <xf numFmtId="0" fontId="16" fillId="5" borderId="16" xfId="4" applyFont="1" applyBorder="1"/>
    <xf numFmtId="0" fontId="16" fillId="10" borderId="16" xfId="4" applyFont="1" applyFill="1" applyBorder="1"/>
    <xf numFmtId="168" fontId="16" fillId="3" borderId="15" xfId="2" applyNumberFormat="1" applyFont="1" applyBorder="1"/>
    <xf numFmtId="0" fontId="16" fillId="9" borderId="27" xfId="0" applyFont="1" applyFill="1" applyBorder="1"/>
    <xf numFmtId="0" fontId="16" fillId="9" borderId="15" xfId="0" quotePrefix="1" applyFont="1" applyFill="1" applyBorder="1"/>
    <xf numFmtId="0" fontId="17" fillId="5" borderId="27" xfId="4" applyFont="1" applyBorder="1"/>
    <xf numFmtId="0" fontId="17" fillId="5" borderId="28" xfId="4" applyFont="1" applyBorder="1"/>
    <xf numFmtId="0" fontId="17" fillId="5" borderId="16" xfId="4" applyFont="1" applyBorder="1"/>
    <xf numFmtId="0" fontId="16" fillId="11" borderId="15" xfId="0" applyFont="1" applyFill="1" applyBorder="1"/>
    <xf numFmtId="0" fontId="19" fillId="9" borderId="2" xfId="0" applyFont="1" applyFill="1" applyBorder="1"/>
    <xf numFmtId="0" fontId="19" fillId="9" borderId="12" xfId="0" applyFont="1" applyFill="1" applyBorder="1"/>
    <xf numFmtId="0" fontId="19" fillId="9" borderId="3" xfId="0" applyFont="1" applyFill="1" applyBorder="1"/>
    <xf numFmtId="166" fontId="16" fillId="11" borderId="13" xfId="11" applyFont="1" applyFill="1" applyBorder="1"/>
    <xf numFmtId="166" fontId="16" fillId="11" borderId="14" xfId="11" applyFont="1" applyFill="1" applyBorder="1"/>
    <xf numFmtId="166" fontId="16" fillId="11" borderId="17" xfId="11" applyFont="1" applyFill="1" applyBorder="1" applyAlignment="1">
      <alignment horizontal="center"/>
    </xf>
    <xf numFmtId="0" fontId="19" fillId="9" borderId="15" xfId="0" applyFont="1" applyFill="1" applyBorder="1"/>
    <xf numFmtId="0" fontId="19" fillId="4" borderId="15" xfId="3" applyFont="1" applyBorder="1"/>
    <xf numFmtId="0" fontId="18" fillId="7" borderId="15" xfId="0" applyFont="1" applyFill="1" applyBorder="1"/>
    <xf numFmtId="0" fontId="16" fillId="7" borderId="17" xfId="0" applyFont="1" applyFill="1" applyBorder="1" applyAlignment="1">
      <alignment horizontal="left"/>
    </xf>
    <xf numFmtId="0" fontId="16" fillId="10" borderId="27" xfId="3" applyFont="1" applyFill="1" applyBorder="1"/>
    <xf numFmtId="0" fontId="16" fillId="10" borderId="28" xfId="3" applyFont="1" applyFill="1" applyBorder="1"/>
    <xf numFmtId="0" fontId="19" fillId="10" borderId="15" xfId="0" applyFont="1" applyFill="1" applyBorder="1"/>
    <xf numFmtId="4" fontId="16" fillId="6" borderId="14" xfId="0" applyNumberFormat="1" applyFont="1" applyFill="1" applyBorder="1"/>
    <xf numFmtId="0" fontId="16" fillId="6" borderId="17" xfId="0" applyFont="1" applyFill="1" applyBorder="1"/>
    <xf numFmtId="0" fontId="18" fillId="6" borderId="14" xfId="0" applyFont="1" applyFill="1" applyBorder="1" applyAlignment="1">
      <alignment horizontal="right"/>
    </xf>
    <xf numFmtId="9" fontId="16" fillId="3" borderId="10" xfId="12" applyFont="1" applyFill="1" applyBorder="1" applyAlignment="1">
      <alignment horizontal="center"/>
    </xf>
    <xf numFmtId="9" fontId="16" fillId="3" borderId="10" xfId="2" applyNumberFormat="1" applyFont="1" applyBorder="1" applyAlignment="1">
      <alignment horizontal="center"/>
    </xf>
    <xf numFmtId="9" fontId="16" fillId="3" borderId="11" xfId="2" applyNumberFormat="1" applyFont="1" applyBorder="1" applyAlignment="1">
      <alignment horizontal="center"/>
    </xf>
    <xf numFmtId="0" fontId="27" fillId="2" borderId="13" xfId="1" applyFont="1" applyBorder="1" applyAlignment="1">
      <alignment horizontal="center"/>
    </xf>
    <xf numFmtId="0" fontId="27" fillId="2" borderId="14" xfId="1" applyFont="1" applyBorder="1" applyAlignment="1">
      <alignment horizontal="center"/>
    </xf>
    <xf numFmtId="0" fontId="27" fillId="2" borderId="17" xfId="1" applyFont="1" applyBorder="1" applyAlignment="1">
      <alignment horizontal="center"/>
    </xf>
    <xf numFmtId="9" fontId="16" fillId="3" borderId="11" xfId="12" applyFont="1" applyFill="1" applyBorder="1" applyAlignment="1">
      <alignment horizontal="center"/>
    </xf>
    <xf numFmtId="0" fontId="18" fillId="7" borderId="27" xfId="0" applyFont="1" applyFill="1" applyBorder="1"/>
    <xf numFmtId="0" fontId="18" fillId="7" borderId="27" xfId="0" applyFont="1" applyFill="1" applyBorder="1" applyAlignment="1">
      <alignment horizontal="center"/>
    </xf>
    <xf numFmtId="0" fontId="18" fillId="7" borderId="6" xfId="0" applyFont="1" applyFill="1" applyBorder="1" applyAlignment="1">
      <alignment horizontal="center"/>
    </xf>
    <xf numFmtId="9" fontId="16" fillId="6" borderId="28" xfId="12" applyFont="1" applyFill="1" applyBorder="1" applyAlignment="1">
      <alignment horizontal="right"/>
    </xf>
    <xf numFmtId="9" fontId="16" fillId="6" borderId="28" xfId="0" applyNumberFormat="1" applyFont="1" applyFill="1" applyBorder="1" applyAlignment="1">
      <alignment horizontal="right"/>
    </xf>
    <xf numFmtId="0" fontId="16" fillId="9" borderId="15" xfId="0" applyFont="1" applyFill="1" applyBorder="1"/>
    <xf numFmtId="0" fontId="16" fillId="6" borderId="15" xfId="0" applyFont="1" applyFill="1" applyBorder="1"/>
    <xf numFmtId="168" fontId="16" fillId="6" borderId="17" xfId="0" applyNumberFormat="1" applyFont="1" applyFill="1" applyBorder="1"/>
    <xf numFmtId="9" fontId="18" fillId="7" borderId="17" xfId="0" applyNumberFormat="1" applyFont="1" applyFill="1" applyBorder="1"/>
    <xf numFmtId="0" fontId="19" fillId="10" borderId="27" xfId="0" applyFont="1" applyFill="1" applyBorder="1"/>
    <xf numFmtId="0" fontId="19" fillId="6" borderId="27" xfId="0" applyFont="1" applyFill="1" applyBorder="1"/>
    <xf numFmtId="166" fontId="19" fillId="6" borderId="0" xfId="11" applyFont="1" applyFill="1" applyBorder="1"/>
    <xf numFmtId="166" fontId="19" fillId="6" borderId="0" xfId="0" applyNumberFormat="1" applyFont="1" applyFill="1" applyBorder="1"/>
    <xf numFmtId="166" fontId="19" fillId="6" borderId="8" xfId="0" applyNumberFormat="1" applyFont="1" applyFill="1" applyBorder="1"/>
    <xf numFmtId="0" fontId="16" fillId="6" borderId="28" xfId="0" applyFont="1" applyFill="1" applyBorder="1"/>
    <xf numFmtId="0" fontId="19" fillId="6" borderId="28" xfId="0" applyFont="1" applyFill="1" applyBorder="1"/>
    <xf numFmtId="166" fontId="19" fillId="6" borderId="8" xfId="11" applyFont="1" applyFill="1" applyBorder="1"/>
    <xf numFmtId="0" fontId="16" fillId="0" borderId="28" xfId="0" applyFont="1" applyBorder="1"/>
    <xf numFmtId="166" fontId="16" fillId="9" borderId="14" xfId="0" applyNumberFormat="1" applyFont="1" applyFill="1" applyBorder="1"/>
    <xf numFmtId="166" fontId="16" fillId="9" borderId="17" xfId="0" applyNumberFormat="1" applyFont="1" applyFill="1" applyBorder="1"/>
    <xf numFmtId="0" fontId="19" fillId="7" borderId="13" xfId="0" applyFont="1" applyFill="1" applyBorder="1"/>
    <xf numFmtId="166" fontId="16" fillId="9" borderId="14" xfId="11" applyFont="1" applyFill="1" applyBorder="1"/>
    <xf numFmtId="166" fontId="16" fillId="9" borderId="17" xfId="11" applyFont="1" applyFill="1" applyBorder="1"/>
    <xf numFmtId="166" fontId="19" fillId="6" borderId="0" xfId="2" applyNumberFormat="1" applyFont="1" applyFill="1" applyBorder="1"/>
    <xf numFmtId="166" fontId="19" fillId="6" borderId="8" xfId="2" applyNumberFormat="1" applyFont="1" applyFill="1" applyBorder="1"/>
  </cellXfs>
  <cellStyles count="439">
    <cellStyle name="20% - Énfasis3" xfId="2" builtinId="38"/>
    <cellStyle name="40% - Énfasis3" xfId="3" builtinId="39"/>
    <cellStyle name="60% - Énfasis3" xfId="4" builtinId="40"/>
    <cellStyle name="Buena" xfId="146" builtinId="26"/>
    <cellStyle name="Énfasis3" xfId="1" builtinId="37"/>
    <cellStyle name="Hipervínculo" xfId="5" builtinId="8" hidden="1"/>
    <cellStyle name="Hipervínculo" xfId="7" builtinId="8" hidden="1"/>
    <cellStyle name="Hipervínculo" xfId="9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Millares" xfId="145" builtinId="3"/>
    <cellStyle name="Moneda" xfId="11" builtinId="4"/>
    <cellStyle name="Normal" xfId="0" builtinId="0"/>
    <cellStyle name="Porcentual" xfId="1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9"/>
  <sheetViews>
    <sheetView zoomScale="90" zoomScaleNormal="90" workbookViewId="0">
      <selection activeCell="B26" sqref="B26"/>
    </sheetView>
  </sheetViews>
  <sheetFormatPr baseColWidth="10" defaultRowHeight="15.75"/>
  <cols>
    <col min="2" max="2" width="36" customWidth="1"/>
    <col min="3" max="3" width="24.375" customWidth="1"/>
    <col min="4" max="4" width="18.875" customWidth="1"/>
    <col min="5" max="6" width="25" customWidth="1"/>
    <col min="7" max="7" width="23.5" customWidth="1"/>
    <col min="8" max="8" width="27.125" customWidth="1"/>
    <col min="9" max="9" width="14.875" customWidth="1"/>
    <col min="10" max="10" width="18.125" customWidth="1"/>
    <col min="12" max="12" width="17.5" customWidth="1"/>
    <col min="13" max="13" width="12.375" customWidth="1"/>
    <col min="14" max="14" width="27.875" customWidth="1"/>
    <col min="15" max="15" width="15.125" customWidth="1"/>
  </cols>
  <sheetData>
    <row r="1" spans="1:14" ht="18.75">
      <c r="B1" s="8"/>
      <c r="C1" s="8"/>
      <c r="D1" s="8"/>
      <c r="E1" s="53" t="s">
        <v>161</v>
      </c>
      <c r="F1" s="8"/>
      <c r="G1" s="8"/>
      <c r="H1" s="8"/>
      <c r="J1" s="8"/>
      <c r="K1" s="8"/>
      <c r="L1" s="8"/>
      <c r="M1" s="8"/>
      <c r="N1" s="8"/>
    </row>
    <row r="2" spans="1:14" ht="36.950000000000003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6.5" thickBot="1">
      <c r="A3" s="8"/>
      <c r="B3" s="86" t="s">
        <v>65</v>
      </c>
      <c r="C3" s="8"/>
      <c r="D3" s="8"/>
      <c r="E3" s="86" t="s">
        <v>67</v>
      </c>
      <c r="F3" s="8"/>
      <c r="G3" s="8"/>
      <c r="H3" s="8"/>
      <c r="I3" s="8"/>
      <c r="J3" s="8"/>
      <c r="K3" s="8"/>
      <c r="L3" s="8"/>
      <c r="M3" s="8"/>
      <c r="N3" s="8"/>
    </row>
    <row r="4" spans="1:14" ht="16.5" thickBot="1">
      <c r="A4" s="8"/>
      <c r="B4" s="79" t="s">
        <v>154</v>
      </c>
      <c r="C4" s="80"/>
      <c r="D4" s="56"/>
      <c r="E4" s="81"/>
      <c r="F4" s="82" t="s">
        <v>14</v>
      </c>
      <c r="G4" s="83"/>
      <c r="H4" s="84"/>
      <c r="I4" s="56"/>
      <c r="J4" s="56"/>
      <c r="K4" s="8"/>
      <c r="L4" s="8"/>
      <c r="M4" s="8"/>
      <c r="N4" s="8"/>
    </row>
    <row r="5" spans="1:14" ht="16.5" thickBot="1">
      <c r="A5" s="8"/>
      <c r="B5" s="275" t="s">
        <v>5</v>
      </c>
      <c r="C5" s="274" t="s">
        <v>6</v>
      </c>
      <c r="D5" s="56"/>
      <c r="E5" s="292" t="s">
        <v>204</v>
      </c>
      <c r="F5" s="286" t="s">
        <v>10</v>
      </c>
      <c r="G5" s="287" t="s">
        <v>63</v>
      </c>
      <c r="H5" s="288" t="s">
        <v>64</v>
      </c>
      <c r="I5" s="56"/>
      <c r="J5" s="56"/>
      <c r="K5" s="8"/>
      <c r="L5" s="8"/>
      <c r="M5" s="8"/>
      <c r="N5" s="8"/>
    </row>
    <row r="6" spans="1:14">
      <c r="A6" s="8"/>
      <c r="B6" s="276" t="s">
        <v>7</v>
      </c>
      <c r="C6" s="69">
        <v>25000</v>
      </c>
      <c r="D6" s="56"/>
      <c r="E6" s="200" t="s">
        <v>194</v>
      </c>
      <c r="F6" s="62">
        <v>400</v>
      </c>
      <c r="G6" s="62">
        <v>400</v>
      </c>
      <c r="H6" s="273" t="s">
        <v>11</v>
      </c>
      <c r="I6" s="56"/>
      <c r="J6" s="56"/>
      <c r="K6" s="8"/>
      <c r="L6" s="8"/>
      <c r="M6" s="8"/>
      <c r="N6" s="8"/>
    </row>
    <row r="7" spans="1:14">
      <c r="A7" s="8"/>
      <c r="B7" s="276" t="s">
        <v>8</v>
      </c>
      <c r="C7" s="69">
        <v>15000</v>
      </c>
      <c r="D7" s="56"/>
      <c r="E7" s="200" t="s">
        <v>60</v>
      </c>
      <c r="F7" s="62">
        <v>3000</v>
      </c>
      <c r="G7" s="62">
        <v>3000</v>
      </c>
      <c r="H7" s="273" t="s">
        <v>11</v>
      </c>
      <c r="I7" s="56"/>
      <c r="J7" s="56"/>
      <c r="K7" s="8"/>
      <c r="L7" s="8"/>
      <c r="M7" s="8"/>
      <c r="N7" s="8"/>
    </row>
    <row r="8" spans="1:14" ht="16.5" thickBot="1">
      <c r="A8" s="8"/>
      <c r="B8" s="276" t="s">
        <v>66</v>
      </c>
      <c r="C8" s="69">
        <v>3000</v>
      </c>
      <c r="D8" s="56"/>
      <c r="E8" s="210" t="s">
        <v>61</v>
      </c>
      <c r="F8" s="62">
        <v>1000</v>
      </c>
      <c r="G8" s="62">
        <v>1000</v>
      </c>
      <c r="H8" s="273" t="s">
        <v>11</v>
      </c>
      <c r="I8" s="56"/>
      <c r="J8" s="56"/>
      <c r="K8" s="8"/>
      <c r="L8" s="8"/>
      <c r="M8" s="8"/>
      <c r="N8" s="8"/>
    </row>
    <row r="9" spans="1:14" ht="16.5" thickBot="1">
      <c r="A9" s="8"/>
      <c r="B9" s="276" t="s">
        <v>11</v>
      </c>
      <c r="C9" s="69"/>
      <c r="D9" s="56"/>
      <c r="E9" s="285" t="s">
        <v>62</v>
      </c>
      <c r="F9" s="289">
        <f>SUM(F6:F8)</f>
        <v>4400</v>
      </c>
      <c r="G9" s="290">
        <f>SUM(F9)</f>
        <v>4400</v>
      </c>
      <c r="H9" s="291" t="s">
        <v>11</v>
      </c>
      <c r="I9" s="56"/>
      <c r="J9" s="56"/>
      <c r="K9" s="8"/>
      <c r="L9" s="8"/>
      <c r="M9" s="8"/>
      <c r="N9" s="8"/>
    </row>
    <row r="10" spans="1:14" ht="16.5" thickBot="1">
      <c r="A10" s="8"/>
      <c r="B10" s="277" t="s">
        <v>11</v>
      </c>
      <c r="C10" s="69"/>
      <c r="D10" s="56"/>
      <c r="E10" s="56"/>
      <c r="F10" s="56"/>
      <c r="G10" s="56"/>
      <c r="H10" s="56"/>
      <c r="I10" s="56"/>
      <c r="J10" s="56"/>
      <c r="K10" s="8"/>
      <c r="L10" s="8"/>
      <c r="M10" s="8"/>
      <c r="N10" s="8"/>
    </row>
    <row r="11" spans="1:14" ht="16.5" thickBot="1">
      <c r="A11" s="8"/>
      <c r="B11" s="278" t="s">
        <v>10</v>
      </c>
      <c r="C11" s="279">
        <f>+C6+C7+C8+C9+C10</f>
        <v>43000</v>
      </c>
      <c r="D11" s="56"/>
      <c r="E11" s="56"/>
      <c r="F11" s="56"/>
      <c r="G11" s="56"/>
      <c r="H11" s="56"/>
      <c r="I11" s="56"/>
      <c r="J11" s="56"/>
      <c r="K11" s="8"/>
      <c r="L11" s="8"/>
      <c r="M11" s="8"/>
      <c r="N11" s="8"/>
    </row>
    <row r="12" spans="1:14" ht="16.5" thickBot="1">
      <c r="A12" s="8"/>
      <c r="B12" s="56"/>
      <c r="C12" s="56"/>
      <c r="D12" s="56"/>
      <c r="E12" s="56"/>
      <c r="F12" s="56"/>
      <c r="G12" s="85"/>
      <c r="H12" s="86" t="s">
        <v>153</v>
      </c>
      <c r="I12" s="56"/>
      <c r="J12" s="56"/>
      <c r="K12" s="8"/>
      <c r="L12" s="8"/>
      <c r="M12" s="8"/>
      <c r="N12" s="8"/>
    </row>
    <row r="13" spans="1:14" ht="16.5" thickBot="1">
      <c r="A13" s="8"/>
      <c r="B13" s="87" t="s">
        <v>165</v>
      </c>
      <c r="C13" s="85"/>
      <c r="D13" s="56"/>
      <c r="E13" s="85"/>
      <c r="F13" s="88"/>
      <c r="G13" s="88"/>
      <c r="H13" s="89" t="s">
        <v>12</v>
      </c>
      <c r="I13" s="90" t="s">
        <v>13</v>
      </c>
      <c r="J13" s="91" t="s">
        <v>23</v>
      </c>
      <c r="K13" s="8"/>
      <c r="L13" s="8"/>
      <c r="M13" s="8"/>
      <c r="N13" s="8"/>
    </row>
    <row r="14" spans="1:14" ht="16.5" thickBot="1">
      <c r="A14" s="8"/>
      <c r="B14" s="81" t="s">
        <v>5</v>
      </c>
      <c r="C14" s="82" t="s">
        <v>171</v>
      </c>
      <c r="D14" s="82" t="s">
        <v>162</v>
      </c>
      <c r="E14" s="82" t="s">
        <v>163</v>
      </c>
      <c r="F14" s="92" t="s">
        <v>164</v>
      </c>
      <c r="G14" s="56"/>
      <c r="H14" s="282" t="s">
        <v>159</v>
      </c>
      <c r="I14" s="93">
        <v>1</v>
      </c>
      <c r="J14" s="94">
        <v>1200</v>
      </c>
      <c r="K14" s="8"/>
      <c r="L14" s="8"/>
      <c r="M14" s="8"/>
      <c r="N14" s="8"/>
    </row>
    <row r="15" spans="1:14">
      <c r="A15" s="8"/>
      <c r="B15" s="280" t="s">
        <v>7</v>
      </c>
      <c r="C15" s="271" t="s">
        <v>11</v>
      </c>
      <c r="D15" s="62">
        <v>5000</v>
      </c>
      <c r="E15" s="254" t="s">
        <v>11</v>
      </c>
      <c r="F15" s="255">
        <v>5000</v>
      </c>
      <c r="G15" s="56"/>
      <c r="H15" s="283" t="s">
        <v>157</v>
      </c>
      <c r="I15" s="93">
        <v>1</v>
      </c>
      <c r="J15" s="94">
        <v>800</v>
      </c>
      <c r="K15" s="8"/>
      <c r="L15" s="8"/>
      <c r="M15" s="8"/>
      <c r="N15" s="8"/>
    </row>
    <row r="16" spans="1:14" ht="16.5" thickBot="1">
      <c r="A16" s="8"/>
      <c r="B16" s="106" t="s">
        <v>8</v>
      </c>
      <c r="C16" s="271" t="s">
        <v>11</v>
      </c>
      <c r="D16" s="62">
        <v>10000</v>
      </c>
      <c r="E16" s="254" t="s">
        <v>11</v>
      </c>
      <c r="F16" s="63">
        <v>10000</v>
      </c>
      <c r="G16" s="56"/>
      <c r="H16" s="283" t="s">
        <v>158</v>
      </c>
      <c r="I16" s="93">
        <v>1</v>
      </c>
      <c r="J16" s="94">
        <v>500</v>
      </c>
      <c r="K16" s="8"/>
      <c r="L16" s="8"/>
      <c r="M16" s="8"/>
      <c r="N16" s="8"/>
    </row>
    <row r="17" spans="1:14" ht="16.5" thickBot="1">
      <c r="A17" s="8"/>
      <c r="B17" s="281" t="s">
        <v>10</v>
      </c>
      <c r="C17" s="272"/>
      <c r="D17" s="257">
        <f t="shared" ref="D17:F17" si="0">SUM(D15:D16)</f>
        <v>15000</v>
      </c>
      <c r="E17" s="257"/>
      <c r="F17" s="258">
        <f t="shared" si="0"/>
        <v>15000</v>
      </c>
      <c r="G17" s="56"/>
      <c r="H17" s="284" t="s">
        <v>160</v>
      </c>
      <c r="I17" s="96">
        <v>2</v>
      </c>
      <c r="J17" s="97">
        <f>400</f>
        <v>400</v>
      </c>
      <c r="K17" s="8"/>
      <c r="L17" s="8"/>
      <c r="M17" s="8"/>
      <c r="N17" s="8"/>
    </row>
    <row r="18" spans="1:14" ht="16.5" thickBot="1">
      <c r="A18" s="8"/>
      <c r="B18" s="98"/>
      <c r="C18" s="56"/>
      <c r="D18" s="56"/>
      <c r="E18" s="56"/>
      <c r="F18" s="56"/>
      <c r="G18" s="56"/>
      <c r="H18" s="56"/>
      <c r="I18" s="56"/>
      <c r="J18" s="56"/>
      <c r="K18" s="8"/>
      <c r="L18" s="8"/>
      <c r="M18" s="8"/>
      <c r="N18" s="8"/>
    </row>
    <row r="19" spans="1:14" ht="16.5" thickBot="1">
      <c r="A19" s="8"/>
      <c r="B19" s="281" t="s">
        <v>170</v>
      </c>
      <c r="C19" s="99">
        <f>+C11+C17+D17+E17+F17</f>
        <v>73000</v>
      </c>
      <c r="D19" s="56"/>
      <c r="E19" s="56"/>
      <c r="F19" s="56"/>
      <c r="G19" s="56"/>
      <c r="H19" s="100" t="s">
        <v>193</v>
      </c>
      <c r="I19" s="101"/>
      <c r="J19" s="102">
        <v>0.03</v>
      </c>
      <c r="K19" s="8"/>
      <c r="L19" s="8"/>
      <c r="M19" s="8"/>
      <c r="N19" s="8"/>
    </row>
    <row r="20" spans="1:14">
      <c r="A20" s="8"/>
      <c r="B20" s="98"/>
      <c r="C20" s="56"/>
      <c r="D20" s="56"/>
      <c r="E20" s="56"/>
      <c r="F20" s="56"/>
      <c r="G20" s="56"/>
      <c r="H20" s="56"/>
      <c r="I20" s="56"/>
      <c r="J20" s="56"/>
      <c r="K20" s="8"/>
      <c r="L20" s="8"/>
      <c r="M20" s="8"/>
      <c r="N20" s="8"/>
    </row>
    <row r="21" spans="1:14">
      <c r="A21" s="8"/>
      <c r="B21" s="98"/>
      <c r="C21" s="56"/>
      <c r="D21" s="56"/>
      <c r="E21" s="56"/>
      <c r="F21" s="56"/>
      <c r="G21" s="56"/>
      <c r="H21" s="56"/>
      <c r="I21" s="56"/>
      <c r="J21" s="56"/>
      <c r="K21" s="8"/>
      <c r="L21" s="8"/>
      <c r="M21" s="8"/>
      <c r="N21" s="8"/>
    </row>
    <row r="22" spans="1:14">
      <c r="A22" s="8"/>
      <c r="B22" s="98"/>
      <c r="C22" s="56"/>
      <c r="D22" s="56"/>
      <c r="E22" s="56"/>
      <c r="F22" s="56"/>
      <c r="G22" s="56"/>
      <c r="H22" s="56"/>
      <c r="I22" s="56"/>
      <c r="J22" s="56"/>
      <c r="K22" s="8"/>
      <c r="L22" s="8"/>
      <c r="M22" s="8"/>
      <c r="N22" s="8"/>
    </row>
    <row r="23" spans="1:14">
      <c r="A23" s="8"/>
      <c r="B23" s="98"/>
      <c r="C23" s="56"/>
      <c r="D23" s="56"/>
      <c r="E23" s="56"/>
      <c r="F23" s="56"/>
      <c r="G23" s="56"/>
      <c r="H23" s="56"/>
      <c r="I23" s="56"/>
      <c r="J23" s="56"/>
      <c r="K23" s="8"/>
      <c r="L23" s="8"/>
      <c r="M23" s="8"/>
      <c r="N23" s="8"/>
    </row>
    <row r="24" spans="1:14">
      <c r="A24" s="8"/>
      <c r="B24" s="56"/>
      <c r="C24" s="56"/>
      <c r="D24" s="56"/>
      <c r="E24" s="56"/>
      <c r="F24" s="56"/>
      <c r="G24" s="56"/>
      <c r="H24" s="56"/>
      <c r="I24" s="56"/>
      <c r="J24" s="56"/>
      <c r="K24" s="8"/>
      <c r="L24" s="8"/>
      <c r="M24" s="8"/>
      <c r="N24" s="8"/>
    </row>
    <row r="25" spans="1:14">
      <c r="A25" s="8"/>
      <c r="B25" s="56"/>
      <c r="C25" s="56"/>
      <c r="D25" s="56"/>
      <c r="E25" s="56"/>
      <c r="F25" s="56"/>
      <c r="G25" s="56"/>
      <c r="H25" s="56"/>
      <c r="I25" s="56"/>
      <c r="J25" s="56"/>
      <c r="K25" s="8"/>
      <c r="L25" s="8"/>
      <c r="M25" s="8"/>
      <c r="N25" s="8"/>
    </row>
    <row r="26" spans="1:14">
      <c r="A26" s="8"/>
      <c r="B26" s="56"/>
      <c r="C26" s="56"/>
      <c r="D26" s="56"/>
      <c r="E26" s="56"/>
      <c r="F26" s="56"/>
      <c r="G26" s="56"/>
      <c r="H26" s="56"/>
      <c r="I26" s="56"/>
      <c r="J26" s="56"/>
      <c r="K26" s="8"/>
      <c r="L26" s="8"/>
      <c r="M26" s="8"/>
      <c r="N26" s="8"/>
    </row>
    <row r="27" spans="1:14">
      <c r="A27" s="8"/>
      <c r="B27" s="56"/>
      <c r="C27" s="56"/>
      <c r="D27" s="56"/>
      <c r="E27" s="56"/>
      <c r="F27" s="56"/>
      <c r="G27" s="56"/>
      <c r="H27" s="56"/>
      <c r="I27" s="56"/>
      <c r="J27" s="56"/>
      <c r="K27" s="8"/>
      <c r="L27" s="8"/>
      <c r="M27" s="8"/>
      <c r="N27" s="8"/>
    </row>
    <row r="28" spans="1:14">
      <c r="A28" s="8"/>
      <c r="B28" s="56"/>
      <c r="C28" s="56"/>
      <c r="D28" s="56"/>
      <c r="E28" s="56"/>
      <c r="F28" s="56"/>
      <c r="G28" s="56"/>
      <c r="H28" s="56"/>
      <c r="I28" s="56"/>
      <c r="J28" s="56"/>
      <c r="K28" s="8"/>
      <c r="L28" s="8"/>
      <c r="M28" s="8"/>
      <c r="N28" s="8"/>
    </row>
    <row r="29" spans="1:14">
      <c r="A29" s="8"/>
      <c r="B29" s="56"/>
      <c r="C29" s="56"/>
      <c r="D29" s="56"/>
      <c r="E29" s="56"/>
      <c r="F29" s="56"/>
      <c r="G29" s="56"/>
      <c r="H29" s="56"/>
      <c r="I29" s="56"/>
      <c r="J29" s="56"/>
      <c r="K29" s="8"/>
      <c r="L29" s="8"/>
      <c r="M29" s="8"/>
      <c r="N29" s="8"/>
    </row>
    <row r="30" spans="1:14" ht="16.5" thickBot="1">
      <c r="A30" s="8"/>
      <c r="B30" s="56"/>
      <c r="C30" s="56"/>
      <c r="D30" s="56"/>
      <c r="E30" s="56"/>
      <c r="F30" s="56"/>
      <c r="G30" s="56"/>
      <c r="H30" s="56"/>
      <c r="I30" s="56"/>
      <c r="J30" s="56"/>
      <c r="K30" s="8"/>
      <c r="L30" s="8"/>
      <c r="M30" s="8"/>
      <c r="N30" s="8"/>
    </row>
    <row r="31" spans="1:14">
      <c r="A31" s="8"/>
      <c r="B31" s="103" t="s">
        <v>184</v>
      </c>
      <c r="C31" s="104" t="s">
        <v>14</v>
      </c>
      <c r="D31" s="104" t="s">
        <v>15</v>
      </c>
      <c r="E31" s="104" t="s">
        <v>16</v>
      </c>
      <c r="F31" s="104" t="s">
        <v>17</v>
      </c>
      <c r="G31" s="105" t="s">
        <v>18</v>
      </c>
      <c r="H31" s="56"/>
      <c r="I31" s="56"/>
      <c r="J31" s="56"/>
      <c r="K31" s="8"/>
      <c r="L31" s="8"/>
      <c r="M31" s="8"/>
      <c r="N31" s="8"/>
    </row>
    <row r="32" spans="1:14">
      <c r="A32" s="8"/>
      <c r="B32" s="106" t="s">
        <v>149</v>
      </c>
      <c r="C32" s="107" t="s">
        <v>11</v>
      </c>
      <c r="D32" s="108">
        <v>0.03</v>
      </c>
      <c r="E32" s="108">
        <v>0.05</v>
      </c>
      <c r="F32" s="108">
        <v>7.0000000000000007E-2</v>
      </c>
      <c r="G32" s="109">
        <v>0.09</v>
      </c>
      <c r="H32" s="56"/>
      <c r="I32" s="56"/>
      <c r="J32" s="56"/>
      <c r="K32" s="8"/>
      <c r="L32" s="8"/>
      <c r="M32" s="8"/>
      <c r="N32" s="8"/>
    </row>
    <row r="33" spans="1:15" ht="16.5" thickBot="1">
      <c r="A33" s="8"/>
      <c r="B33" s="110" t="s">
        <v>150</v>
      </c>
      <c r="C33" s="111">
        <f>+C50</f>
        <v>17</v>
      </c>
      <c r="D33" s="111">
        <f t="shared" ref="D33:E33" si="1">+D50</f>
        <v>20</v>
      </c>
      <c r="E33" s="111">
        <f t="shared" si="1"/>
        <v>27</v>
      </c>
      <c r="F33" s="112">
        <f>+F50</f>
        <v>38</v>
      </c>
      <c r="G33" s="113">
        <f>+G50</f>
        <v>53</v>
      </c>
      <c r="H33" s="56"/>
      <c r="I33" s="56"/>
      <c r="J33" s="56"/>
      <c r="K33" s="8"/>
      <c r="L33" s="8"/>
      <c r="M33" s="8"/>
      <c r="N33" s="8"/>
    </row>
    <row r="34" spans="1:15">
      <c r="A34" s="8"/>
      <c r="B34" s="56"/>
      <c r="C34" s="56"/>
      <c r="D34" s="114"/>
      <c r="E34" s="114"/>
      <c r="F34" s="56"/>
      <c r="G34" s="56"/>
      <c r="H34" s="56"/>
      <c r="I34" s="56"/>
      <c r="J34" s="56"/>
      <c r="K34" s="8"/>
      <c r="L34" s="8"/>
      <c r="M34" s="8"/>
      <c r="N34" s="8"/>
    </row>
    <row r="35" spans="1:15">
      <c r="A35" s="8"/>
      <c r="B35" s="56"/>
      <c r="C35" s="56"/>
      <c r="D35" s="114"/>
      <c r="E35" s="114"/>
      <c r="F35" s="114"/>
      <c r="G35" s="114"/>
      <c r="H35" s="56"/>
      <c r="I35" s="56"/>
      <c r="J35" s="56"/>
      <c r="K35" s="8"/>
      <c r="L35" s="8"/>
      <c r="M35" s="8"/>
      <c r="N35" s="8"/>
    </row>
    <row r="36" spans="1:15" ht="16.5" thickBot="1">
      <c r="A36" s="8"/>
      <c r="B36" s="115" t="s">
        <v>151</v>
      </c>
      <c r="C36" s="116"/>
      <c r="D36" s="116"/>
      <c r="E36" s="116"/>
      <c r="F36" s="114"/>
      <c r="G36" s="114"/>
      <c r="H36" s="56"/>
      <c r="I36" s="56"/>
      <c r="J36" s="56"/>
      <c r="K36" s="8"/>
      <c r="L36" s="8"/>
      <c r="M36" s="8"/>
      <c r="N36" s="8"/>
    </row>
    <row r="37" spans="1:15" ht="16.5" thickBot="1">
      <c r="A37" s="8"/>
      <c r="B37" s="117" t="s">
        <v>146</v>
      </c>
      <c r="C37" s="118" t="s">
        <v>108</v>
      </c>
      <c r="D37" s="118" t="s">
        <v>107</v>
      </c>
      <c r="E37" s="118" t="s">
        <v>109</v>
      </c>
      <c r="F37" s="118" t="s">
        <v>110</v>
      </c>
      <c r="G37" s="119" t="s">
        <v>111</v>
      </c>
      <c r="H37" s="56"/>
      <c r="I37" s="120"/>
      <c r="J37" s="56"/>
      <c r="K37" s="8"/>
      <c r="L37" s="8"/>
      <c r="M37" s="8"/>
      <c r="N37" s="8"/>
    </row>
    <row r="38" spans="1:15">
      <c r="A38" s="8"/>
      <c r="B38" s="121" t="s">
        <v>1</v>
      </c>
      <c r="C38" s="122">
        <v>10000</v>
      </c>
      <c r="D38" s="122">
        <f>+C38*$D$32+C38</f>
        <v>10300</v>
      </c>
      <c r="E38" s="122">
        <f>+D38*$E$32+D38</f>
        <v>10815</v>
      </c>
      <c r="F38" s="122">
        <f>+E38*$F$32+E38</f>
        <v>11572.05</v>
      </c>
      <c r="G38" s="123">
        <f>+F38*$G$32+F38</f>
        <v>12613.5345</v>
      </c>
      <c r="H38" s="56"/>
      <c r="I38" s="88"/>
      <c r="J38" s="56"/>
      <c r="K38" s="8"/>
      <c r="L38" s="8"/>
      <c r="M38" s="8"/>
      <c r="N38" s="8"/>
    </row>
    <row r="39" spans="1:15">
      <c r="A39" s="8"/>
      <c r="B39" s="121" t="s">
        <v>3</v>
      </c>
      <c r="C39" s="122">
        <v>7000</v>
      </c>
      <c r="D39" s="122">
        <f>+C39*$D$32+C39</f>
        <v>7210</v>
      </c>
      <c r="E39" s="122">
        <f t="shared" ref="E39:E41" si="2">+D39*$E$32+D39</f>
        <v>7570.5</v>
      </c>
      <c r="F39" s="122">
        <f>+E39*$F$32+E39</f>
        <v>8100.4350000000004</v>
      </c>
      <c r="G39" s="123">
        <f>+F39*$G$32+F39</f>
        <v>8829.47415</v>
      </c>
      <c r="H39" s="56"/>
      <c r="I39" s="88"/>
      <c r="J39" s="56"/>
      <c r="K39" s="8"/>
      <c r="L39" s="8"/>
      <c r="M39" s="8"/>
      <c r="N39" s="8"/>
    </row>
    <row r="40" spans="1:15">
      <c r="A40" s="8"/>
      <c r="B40" s="121" t="s">
        <v>2</v>
      </c>
      <c r="C40" s="122">
        <v>5000</v>
      </c>
      <c r="D40" s="122">
        <f t="shared" ref="D40:D41" si="3">+C40*$D$32+C40</f>
        <v>5150</v>
      </c>
      <c r="E40" s="122">
        <f t="shared" si="2"/>
        <v>5407.5</v>
      </c>
      <c r="F40" s="122">
        <f>+E40*$F$32+E40</f>
        <v>5786.0249999999996</v>
      </c>
      <c r="G40" s="123">
        <f>+F40*$G$32+F40</f>
        <v>6306.7672499999999</v>
      </c>
      <c r="H40" s="56"/>
      <c r="I40" s="88"/>
      <c r="J40" s="56"/>
      <c r="K40" s="8"/>
      <c r="L40" s="8"/>
      <c r="M40" s="8"/>
      <c r="N40" s="8"/>
    </row>
    <row r="41" spans="1:15" ht="16.5" thickBot="1">
      <c r="A41" s="8"/>
      <c r="B41" s="124" t="s">
        <v>4</v>
      </c>
      <c r="C41" s="125">
        <v>3000</v>
      </c>
      <c r="D41" s="125">
        <f t="shared" si="3"/>
        <v>3090</v>
      </c>
      <c r="E41" s="125">
        <f t="shared" si="2"/>
        <v>3244.5</v>
      </c>
      <c r="F41" s="125">
        <f>+E41*$F$32+E41</f>
        <v>3471.6149999999998</v>
      </c>
      <c r="G41" s="126">
        <f>+F41*$G$32+F41</f>
        <v>3784.0603499999997</v>
      </c>
      <c r="H41" s="56"/>
      <c r="I41" s="88"/>
      <c r="J41" s="88"/>
      <c r="K41" s="41"/>
      <c r="L41" s="8"/>
      <c r="M41" s="8"/>
      <c r="N41" s="8"/>
      <c r="O41" s="5"/>
    </row>
    <row r="42" spans="1:15">
      <c r="A42" s="8"/>
      <c r="B42" s="88"/>
      <c r="C42" s="88"/>
      <c r="D42" s="88"/>
      <c r="E42" s="88"/>
      <c r="F42" s="56"/>
      <c r="G42" s="56"/>
      <c r="H42" s="56"/>
      <c r="I42" s="88"/>
      <c r="J42" s="56"/>
      <c r="K42" s="8"/>
      <c r="L42" s="50"/>
      <c r="M42" s="8"/>
      <c r="N42" s="8"/>
    </row>
    <row r="43" spans="1:15">
      <c r="A43" s="8"/>
      <c r="B43" s="56"/>
      <c r="C43" s="56"/>
      <c r="D43" s="56"/>
      <c r="E43" s="56"/>
      <c r="F43" s="88"/>
      <c r="G43" s="88"/>
      <c r="H43" s="127"/>
      <c r="I43" s="88"/>
      <c r="J43" s="56"/>
      <c r="K43" s="8"/>
      <c r="L43" s="8"/>
      <c r="M43" s="8"/>
      <c r="N43" s="8"/>
    </row>
    <row r="44" spans="1:15" ht="16.5" thickBot="1">
      <c r="A44" s="8"/>
      <c r="B44" s="128" t="s">
        <v>152</v>
      </c>
      <c r="C44" s="128"/>
      <c r="D44" s="128"/>
      <c r="E44" s="55"/>
      <c r="F44" s="56"/>
      <c r="G44" s="56"/>
      <c r="H44" s="56"/>
      <c r="I44" s="56"/>
      <c r="J44" s="56"/>
      <c r="K44" s="8"/>
      <c r="L44" s="8"/>
      <c r="M44" s="8"/>
      <c r="N44" s="8"/>
    </row>
    <row r="45" spans="1:15" ht="16.5" thickBot="1">
      <c r="A45" s="8"/>
      <c r="B45" s="129" t="s">
        <v>0</v>
      </c>
      <c r="C45" s="130" t="s">
        <v>14</v>
      </c>
      <c r="D45" s="130" t="s">
        <v>15</v>
      </c>
      <c r="E45" s="130" t="s">
        <v>16</v>
      </c>
      <c r="F45" s="130" t="s">
        <v>17</v>
      </c>
      <c r="G45" s="131" t="s">
        <v>18</v>
      </c>
      <c r="H45" s="56"/>
      <c r="I45" s="56"/>
      <c r="J45" s="56"/>
      <c r="K45" s="8"/>
      <c r="L45" s="8"/>
      <c r="M45" s="8"/>
      <c r="N45" s="8"/>
    </row>
    <row r="46" spans="1:15">
      <c r="A46" s="8"/>
      <c r="B46" s="132" t="s">
        <v>1</v>
      </c>
      <c r="C46" s="133">
        <v>2</v>
      </c>
      <c r="D46" s="134">
        <f>3</f>
        <v>3</v>
      </c>
      <c r="E46" s="134">
        <v>4</v>
      </c>
      <c r="F46" s="134">
        <v>4</v>
      </c>
      <c r="G46" s="135">
        <v>4</v>
      </c>
      <c r="H46" s="56"/>
      <c r="I46" s="56"/>
      <c r="J46" s="56"/>
      <c r="K46" s="8"/>
      <c r="L46" s="8"/>
      <c r="M46" s="8"/>
      <c r="N46" s="8"/>
    </row>
    <row r="47" spans="1:15">
      <c r="A47" s="8"/>
      <c r="B47" s="132" t="s">
        <v>3</v>
      </c>
      <c r="C47" s="133">
        <v>3</v>
      </c>
      <c r="D47" s="134">
        <v>4</v>
      </c>
      <c r="E47" s="134">
        <v>4</v>
      </c>
      <c r="F47" s="134">
        <v>4</v>
      </c>
      <c r="G47" s="135">
        <v>4</v>
      </c>
      <c r="H47" s="56"/>
      <c r="I47" s="56"/>
      <c r="J47" s="56"/>
      <c r="K47" s="8"/>
      <c r="L47" s="8"/>
      <c r="M47" s="8"/>
      <c r="N47" s="8"/>
    </row>
    <row r="48" spans="1:15">
      <c r="A48" s="8"/>
      <c r="B48" s="132" t="s">
        <v>2</v>
      </c>
      <c r="C48" s="133">
        <v>3</v>
      </c>
      <c r="D48" s="134">
        <f>4</f>
        <v>4</v>
      </c>
      <c r="E48" s="134">
        <v>5</v>
      </c>
      <c r="F48" s="134">
        <v>8</v>
      </c>
      <c r="G48" s="135">
        <v>10</v>
      </c>
      <c r="H48" s="56"/>
      <c r="I48" s="56"/>
      <c r="J48" s="56"/>
      <c r="K48" s="8"/>
      <c r="L48" s="8"/>
      <c r="M48" s="8"/>
      <c r="N48" s="8"/>
    </row>
    <row r="49" spans="1:14" ht="16.5" thickBot="1">
      <c r="A49" s="8"/>
      <c r="B49" s="136" t="s">
        <v>4</v>
      </c>
      <c r="C49" s="137">
        <v>9</v>
      </c>
      <c r="D49" s="138">
        <v>9</v>
      </c>
      <c r="E49" s="138">
        <v>14</v>
      </c>
      <c r="F49" s="138">
        <v>22</v>
      </c>
      <c r="G49" s="139">
        <v>35</v>
      </c>
      <c r="H49" s="56"/>
      <c r="I49" s="56"/>
      <c r="J49" s="56"/>
      <c r="K49" s="8"/>
      <c r="L49" s="8"/>
      <c r="M49" s="8"/>
      <c r="N49" s="8"/>
    </row>
    <row r="50" spans="1:14" ht="16.5" thickBot="1">
      <c r="A50" s="8"/>
      <c r="B50" s="293" t="s">
        <v>19</v>
      </c>
      <c r="C50" s="140">
        <f>SUM(C46:C49)</f>
        <v>17</v>
      </c>
      <c r="D50" s="141">
        <f>SUM(D46:D49)</f>
        <v>20</v>
      </c>
      <c r="E50" s="141">
        <f>SUM(E46:E49)</f>
        <v>27</v>
      </c>
      <c r="F50" s="141">
        <f>SUM(F46:F49)</f>
        <v>38</v>
      </c>
      <c r="G50" s="142">
        <f>SUM(G46:G49)</f>
        <v>53</v>
      </c>
      <c r="H50" s="56"/>
      <c r="I50" s="56"/>
      <c r="J50" s="56"/>
      <c r="K50" s="8"/>
      <c r="L50" s="8"/>
      <c r="M50" s="8"/>
      <c r="N50" s="8"/>
    </row>
    <row r="51" spans="1:14">
      <c r="A51" s="8"/>
      <c r="B51" s="56"/>
      <c r="C51" s="56"/>
      <c r="D51" s="143"/>
      <c r="E51" s="143"/>
      <c r="F51" s="56"/>
      <c r="G51" s="56"/>
      <c r="H51" s="56"/>
      <c r="I51" s="56"/>
      <c r="J51" s="56"/>
      <c r="K51" s="8"/>
      <c r="L51" s="8"/>
      <c r="M51" s="8"/>
      <c r="N51" s="8"/>
    </row>
    <row r="52" spans="1:14">
      <c r="A52" s="8"/>
      <c r="B52" s="88"/>
      <c r="C52" s="88"/>
      <c r="D52" s="68"/>
      <c r="E52" s="68"/>
      <c r="F52" s="143"/>
      <c r="G52" s="143"/>
      <c r="H52" s="56"/>
      <c r="I52" s="56"/>
      <c r="J52" s="56"/>
      <c r="K52" s="8"/>
      <c r="L52" s="8"/>
      <c r="M52" s="8"/>
      <c r="N52" s="8"/>
    </row>
    <row r="53" spans="1:14">
      <c r="A53" s="8"/>
      <c r="B53" s="88"/>
      <c r="C53" s="88"/>
      <c r="D53" s="68"/>
      <c r="E53" s="88"/>
      <c r="F53" s="143"/>
      <c r="G53" s="143"/>
      <c r="H53" s="56"/>
      <c r="I53" s="56"/>
      <c r="J53" s="56"/>
      <c r="K53" s="8"/>
      <c r="L53" s="8"/>
      <c r="M53" s="8"/>
      <c r="N53" s="8"/>
    </row>
    <row r="54" spans="1:14" ht="16.5" thickBot="1">
      <c r="A54" s="8"/>
      <c r="B54" s="54" t="s">
        <v>22</v>
      </c>
      <c r="C54" s="54"/>
      <c r="D54" s="144"/>
      <c r="E54" s="145"/>
      <c r="F54" s="56"/>
      <c r="G54" s="56"/>
      <c r="H54" s="56"/>
      <c r="I54" s="56"/>
      <c r="J54" s="56"/>
      <c r="K54" s="8"/>
      <c r="L54" s="8"/>
      <c r="M54" s="8"/>
      <c r="N54" s="8"/>
    </row>
    <row r="55" spans="1:14" ht="16.5" thickBot="1">
      <c r="A55" s="8"/>
      <c r="B55" s="129" t="s">
        <v>0</v>
      </c>
      <c r="C55" s="146" t="s">
        <v>14</v>
      </c>
      <c r="D55" s="146" t="s">
        <v>15</v>
      </c>
      <c r="E55" s="146" t="s">
        <v>16</v>
      </c>
      <c r="F55" s="146" t="s">
        <v>17</v>
      </c>
      <c r="G55" s="147" t="s">
        <v>18</v>
      </c>
      <c r="H55" s="56"/>
      <c r="I55" s="56"/>
      <c r="J55" s="56"/>
      <c r="K55" s="8"/>
      <c r="L55" s="8"/>
      <c r="M55" s="8"/>
      <c r="N55" s="8"/>
    </row>
    <row r="56" spans="1:14">
      <c r="A56" s="8"/>
      <c r="B56" s="148" t="s">
        <v>1</v>
      </c>
      <c r="C56" s="149">
        <f>+C46*C38</f>
        <v>20000</v>
      </c>
      <c r="D56" s="149">
        <f t="shared" ref="D56:E56" si="4">+D46*D38</f>
        <v>30900</v>
      </c>
      <c r="E56" s="149">
        <f t="shared" si="4"/>
        <v>43260</v>
      </c>
      <c r="F56" s="149">
        <f>+F46*F38</f>
        <v>46288.2</v>
      </c>
      <c r="G56" s="150">
        <f>+G46*G38</f>
        <v>50454.137999999999</v>
      </c>
      <c r="H56" s="56"/>
      <c r="I56" s="56"/>
      <c r="J56" s="56"/>
      <c r="K56" s="8"/>
      <c r="L56" s="8"/>
      <c r="M56" s="8"/>
      <c r="N56" s="8"/>
    </row>
    <row r="57" spans="1:14">
      <c r="A57" s="8"/>
      <c r="B57" s="148"/>
      <c r="C57" s="149"/>
      <c r="D57" s="149"/>
      <c r="E57" s="149"/>
      <c r="F57" s="149"/>
      <c r="G57" s="150"/>
      <c r="H57" s="56"/>
      <c r="I57" s="56"/>
      <c r="J57" s="56"/>
      <c r="K57" s="8"/>
      <c r="L57" s="8"/>
      <c r="M57" s="8"/>
      <c r="N57" s="8"/>
    </row>
    <row r="58" spans="1:14">
      <c r="A58" s="8"/>
      <c r="B58" s="148" t="s">
        <v>3</v>
      </c>
      <c r="C58" s="149">
        <f>+C47*C39</f>
        <v>21000</v>
      </c>
      <c r="D58" s="149">
        <f>+D47*D39</f>
        <v>28840</v>
      </c>
      <c r="E58" s="149">
        <f>+E47*E39</f>
        <v>30282</v>
      </c>
      <c r="F58" s="149">
        <f>+F47*F39</f>
        <v>32401.74</v>
      </c>
      <c r="G58" s="150">
        <f>+G47*G39</f>
        <v>35317.8966</v>
      </c>
      <c r="H58" s="56"/>
      <c r="I58" s="56"/>
      <c r="J58" s="56"/>
      <c r="K58" s="8"/>
      <c r="L58" s="8"/>
      <c r="M58" s="8"/>
      <c r="N58" s="8"/>
    </row>
    <row r="59" spans="1:14">
      <c r="A59" s="8"/>
      <c r="B59" s="148"/>
      <c r="C59" s="149"/>
      <c r="D59" s="149"/>
      <c r="E59" s="149"/>
      <c r="F59" s="149"/>
      <c r="G59" s="150"/>
      <c r="H59" s="56"/>
      <c r="I59" s="56"/>
      <c r="J59" s="56"/>
      <c r="K59" s="8"/>
      <c r="L59" s="8"/>
      <c r="M59" s="8"/>
      <c r="N59" s="8"/>
    </row>
    <row r="60" spans="1:14">
      <c r="A60" s="8"/>
      <c r="B60" s="148" t="s">
        <v>2</v>
      </c>
      <c r="C60" s="149">
        <f>+C48*C40</f>
        <v>15000</v>
      </c>
      <c r="D60" s="149">
        <f>+D48*D40</f>
        <v>20600</v>
      </c>
      <c r="E60" s="149">
        <f>+E48*E40</f>
        <v>27037.5</v>
      </c>
      <c r="F60" s="149">
        <f>+F48*F40</f>
        <v>46288.2</v>
      </c>
      <c r="G60" s="150">
        <f>+G48*G40</f>
        <v>63067.672500000001</v>
      </c>
      <c r="H60" s="56"/>
      <c r="I60" s="56"/>
      <c r="J60" s="56"/>
      <c r="K60" s="8"/>
      <c r="L60" s="8"/>
      <c r="M60" s="8"/>
      <c r="N60" s="8"/>
    </row>
    <row r="61" spans="1:14">
      <c r="A61" s="8"/>
      <c r="B61" s="148"/>
      <c r="C61" s="149"/>
      <c r="D61" s="149"/>
      <c r="E61" s="149"/>
      <c r="F61" s="149"/>
      <c r="G61" s="150"/>
      <c r="H61" s="56"/>
      <c r="I61" s="56"/>
      <c r="J61" s="56"/>
      <c r="K61" s="8"/>
      <c r="L61" s="8"/>
      <c r="M61" s="8"/>
      <c r="N61" s="8"/>
    </row>
    <row r="62" spans="1:14">
      <c r="A62" s="8"/>
      <c r="B62" s="148" t="s">
        <v>4</v>
      </c>
      <c r="C62" s="149">
        <f>+C49*C41</f>
        <v>27000</v>
      </c>
      <c r="D62" s="149">
        <f>+D49*D41</f>
        <v>27810</v>
      </c>
      <c r="E62" s="149">
        <f>+E49*E41</f>
        <v>45423</v>
      </c>
      <c r="F62" s="149">
        <f>+F49*F41</f>
        <v>76375.53</v>
      </c>
      <c r="G62" s="150">
        <f>+G49*G41</f>
        <v>132442.11225000001</v>
      </c>
      <c r="H62" s="56"/>
      <c r="I62" s="56"/>
      <c r="J62" s="56"/>
      <c r="K62" s="8"/>
      <c r="L62" s="8"/>
      <c r="M62" s="8"/>
      <c r="N62" s="8"/>
    </row>
    <row r="63" spans="1:14" ht="16.5" thickBot="1">
      <c r="A63" s="8"/>
      <c r="B63" s="151"/>
      <c r="C63" s="152"/>
      <c r="D63" s="152"/>
      <c r="E63" s="152"/>
      <c r="F63" s="152"/>
      <c r="G63" s="153"/>
      <c r="H63" s="56"/>
      <c r="I63" s="56"/>
      <c r="J63" s="56"/>
      <c r="K63" s="8"/>
      <c r="L63" s="8"/>
      <c r="M63" s="8"/>
      <c r="N63" s="8"/>
    </row>
    <row r="64" spans="1:14" ht="16.5" thickBot="1">
      <c r="A64" s="8"/>
      <c r="B64" s="154" t="s">
        <v>20</v>
      </c>
      <c r="C64" s="155">
        <f>SUM(C56:C62)</f>
        <v>83000</v>
      </c>
      <c r="D64" s="155">
        <f>SUM(D56:D62)</f>
        <v>108150</v>
      </c>
      <c r="E64" s="155">
        <f>SUM(E56:E62)</f>
        <v>146002.5</v>
      </c>
      <c r="F64" s="155">
        <f>SUM(F56:F62)</f>
        <v>201353.66999999998</v>
      </c>
      <c r="G64" s="156">
        <f>SUM(G56:G62)</f>
        <v>281281.81935000001</v>
      </c>
      <c r="H64" s="56"/>
      <c r="I64" s="56"/>
      <c r="J64" s="56"/>
      <c r="K64" s="8"/>
      <c r="L64" s="8"/>
      <c r="M64" s="8"/>
      <c r="N64" s="8"/>
    </row>
    <row r="65" spans="1:14" ht="16.5" thickBot="1">
      <c r="A65" s="8"/>
      <c r="B65" s="157"/>
      <c r="C65" s="68"/>
      <c r="D65" s="68"/>
      <c r="E65" s="68"/>
      <c r="F65" s="68"/>
      <c r="G65" s="69"/>
      <c r="H65" s="56"/>
      <c r="I65" s="56"/>
      <c r="J65" s="56"/>
      <c r="K65" s="8"/>
      <c r="L65" s="8"/>
      <c r="M65" s="8"/>
      <c r="N65" s="8"/>
    </row>
    <row r="66" spans="1:14" ht="16.5" thickBot="1">
      <c r="A66" s="8"/>
      <c r="B66" s="261" t="s">
        <v>106</v>
      </c>
      <c r="C66" s="158"/>
      <c r="D66" s="159">
        <f>+(D64-C64)/C64</f>
        <v>0.30301204819277111</v>
      </c>
      <c r="E66" s="159">
        <f>+(E64-D64)/D64</f>
        <v>0.35</v>
      </c>
      <c r="F66" s="159">
        <f>+(F64-E64)/E64</f>
        <v>0.37911111111111101</v>
      </c>
      <c r="G66" s="160">
        <f>+(G64-F64)/F64</f>
        <v>0.39695402298850591</v>
      </c>
      <c r="H66" s="56"/>
      <c r="I66" s="56"/>
      <c r="J66" s="56"/>
      <c r="K66" s="8"/>
      <c r="L66" s="8"/>
      <c r="M66" s="8"/>
      <c r="N66" s="8"/>
    </row>
    <row r="67" spans="1:14">
      <c r="A67" s="8"/>
      <c r="B67" s="56"/>
      <c r="C67" s="56"/>
      <c r="D67" s="143"/>
      <c r="E67" s="143"/>
      <c r="F67" s="56"/>
      <c r="G67" s="56"/>
      <c r="H67" s="56"/>
      <c r="I67" s="56"/>
      <c r="J67" s="56"/>
      <c r="K67" s="8"/>
      <c r="L67" s="8"/>
      <c r="M67" s="8"/>
      <c r="N67" s="8"/>
    </row>
    <row r="68" spans="1:14">
      <c r="A68" s="8"/>
      <c r="B68" s="56"/>
      <c r="C68" s="56"/>
      <c r="D68" s="56"/>
      <c r="E68" s="56"/>
      <c r="F68" s="143"/>
      <c r="G68" s="56"/>
      <c r="H68" s="56"/>
      <c r="I68" s="56"/>
      <c r="J68" s="56"/>
      <c r="K68" s="8"/>
      <c r="L68" s="8"/>
      <c r="M68" s="8"/>
      <c r="N68" s="8"/>
    </row>
    <row r="69" spans="1:14" ht="16.5" thickBot="1">
      <c r="A69" s="8"/>
      <c r="B69" s="54" t="s">
        <v>21</v>
      </c>
      <c r="C69" s="55"/>
      <c r="D69" s="55"/>
      <c r="E69" s="55"/>
      <c r="F69" s="56"/>
      <c r="G69" s="56"/>
      <c r="H69" s="143"/>
      <c r="I69" s="56"/>
      <c r="J69" s="56"/>
      <c r="K69" s="8"/>
      <c r="L69" s="8"/>
      <c r="M69" s="8"/>
      <c r="N69" s="8"/>
    </row>
    <row r="70" spans="1:14" ht="16.5" thickBot="1">
      <c r="A70" s="8"/>
      <c r="B70" s="161" t="s">
        <v>24</v>
      </c>
      <c r="C70" s="162" t="s">
        <v>27</v>
      </c>
      <c r="D70" s="162" t="s">
        <v>15</v>
      </c>
      <c r="E70" s="162" t="s">
        <v>16</v>
      </c>
      <c r="F70" s="162" t="s">
        <v>17</v>
      </c>
      <c r="G70" s="163" t="s">
        <v>18</v>
      </c>
      <c r="H70" s="56"/>
      <c r="I70" s="85"/>
      <c r="J70" s="56"/>
      <c r="K70" s="8"/>
      <c r="L70" s="8"/>
      <c r="M70" s="8"/>
      <c r="N70" s="8"/>
    </row>
    <row r="71" spans="1:14">
      <c r="A71" s="8"/>
      <c r="B71" s="148" t="s">
        <v>26</v>
      </c>
      <c r="C71" s="68">
        <f>+C56*$J$19</f>
        <v>600</v>
      </c>
      <c r="D71" s="68">
        <f>+D56*$J$19</f>
        <v>927</v>
      </c>
      <c r="E71" s="68">
        <f>+E56*$J$19</f>
        <v>1297.8</v>
      </c>
      <c r="F71" s="68">
        <f>+F56*$J$19</f>
        <v>1388.646</v>
      </c>
      <c r="G71" s="69">
        <f>+G56*$J$19</f>
        <v>1513.6241399999999</v>
      </c>
      <c r="H71" s="56"/>
      <c r="I71" s="68"/>
      <c r="J71" s="56"/>
      <c r="K71" s="8"/>
      <c r="L71" s="8"/>
      <c r="M71" s="8"/>
      <c r="N71" s="8"/>
    </row>
    <row r="72" spans="1:14">
      <c r="A72" s="8"/>
      <c r="B72" s="148" t="s">
        <v>25</v>
      </c>
      <c r="C72" s="68">
        <f>+(C58+C60)*$J$19</f>
        <v>1080</v>
      </c>
      <c r="D72" s="68">
        <f>+(D58+D60)*$J$19</f>
        <v>1483.2</v>
      </c>
      <c r="E72" s="68">
        <f>+(E58+E60)*$J$19</f>
        <v>1719.585</v>
      </c>
      <c r="F72" s="68">
        <f>+(F58+F60)*$J$19</f>
        <v>2360.6981999999998</v>
      </c>
      <c r="G72" s="69">
        <f>+(G58+G60)*$J$19</f>
        <v>2951.5670729999997</v>
      </c>
      <c r="H72" s="56"/>
      <c r="I72" s="85"/>
      <c r="J72" s="56"/>
      <c r="K72" s="8"/>
      <c r="L72" s="8"/>
      <c r="M72" s="8"/>
      <c r="N72" s="8"/>
    </row>
    <row r="73" spans="1:14">
      <c r="A73" s="8"/>
      <c r="B73" s="148" t="s">
        <v>166</v>
      </c>
      <c r="C73" s="68">
        <f>+C62*$J$19</f>
        <v>810</v>
      </c>
      <c r="D73" s="68">
        <f>+D62*$J$19</f>
        <v>834.3</v>
      </c>
      <c r="E73" s="68">
        <f>+E62*$J$19</f>
        <v>1362.69</v>
      </c>
      <c r="F73" s="68">
        <f>+F62*$J$19</f>
        <v>2291.2658999999999</v>
      </c>
      <c r="G73" s="69">
        <f>+G62*$J$19</f>
        <v>3973.2633675000002</v>
      </c>
      <c r="H73" s="56"/>
      <c r="I73" s="56"/>
      <c r="J73" s="56"/>
      <c r="K73" s="8"/>
      <c r="L73" s="8"/>
      <c r="M73" s="8"/>
      <c r="N73" s="8"/>
    </row>
    <row r="74" spans="1:14">
      <c r="A74" s="8"/>
      <c r="B74" s="148" t="s">
        <v>195</v>
      </c>
      <c r="C74" s="164">
        <f>SUM(C71:C73)</f>
        <v>2490</v>
      </c>
      <c r="D74" s="164">
        <f t="shared" ref="D74:F74" si="5">SUM(D71:D73)</f>
        <v>3244.5</v>
      </c>
      <c r="E74" s="164">
        <f t="shared" si="5"/>
        <v>4380.0750000000007</v>
      </c>
      <c r="F74" s="164">
        <f t="shared" si="5"/>
        <v>6040.6100999999999</v>
      </c>
      <c r="G74" s="165">
        <f>SUM(G71:G73)</f>
        <v>8438.4545804999998</v>
      </c>
      <c r="H74" s="56"/>
      <c r="I74" s="56"/>
      <c r="J74" s="56"/>
      <c r="K74" s="8"/>
      <c r="L74" s="8"/>
      <c r="M74" s="8"/>
      <c r="N74" s="8"/>
    </row>
    <row r="75" spans="1:14">
      <c r="A75" s="8"/>
      <c r="B75" s="148"/>
      <c r="C75" s="68"/>
      <c r="D75" s="68"/>
      <c r="E75" s="68"/>
      <c r="F75" s="68"/>
      <c r="G75" s="69"/>
      <c r="H75" s="56"/>
      <c r="I75" s="56"/>
      <c r="J75" s="56"/>
      <c r="K75" s="8"/>
      <c r="L75" s="8"/>
      <c r="M75" s="8"/>
      <c r="N75" s="8"/>
    </row>
    <row r="76" spans="1:14">
      <c r="A76" s="8"/>
      <c r="B76" s="148" t="s">
        <v>199</v>
      </c>
      <c r="C76" s="68">
        <f>C74/12</f>
        <v>207.5</v>
      </c>
      <c r="D76" s="68">
        <f t="shared" ref="D76" si="6">D74/12</f>
        <v>270.375</v>
      </c>
      <c r="E76" s="68">
        <f>E74/12</f>
        <v>365.00625000000008</v>
      </c>
      <c r="F76" s="68">
        <f>F74/12</f>
        <v>503.38417499999997</v>
      </c>
      <c r="G76" s="69">
        <f>G74/12</f>
        <v>703.20454837499994</v>
      </c>
      <c r="H76" s="56"/>
      <c r="I76" s="56"/>
      <c r="J76" s="56"/>
      <c r="K76" s="8"/>
      <c r="L76" s="8"/>
      <c r="M76" s="8"/>
      <c r="N76" s="8"/>
    </row>
    <row r="77" spans="1:14">
      <c r="A77" s="8"/>
      <c r="B77" s="148" t="s">
        <v>28</v>
      </c>
      <c r="C77" s="166">
        <f>+C74/12</f>
        <v>207.5</v>
      </c>
      <c r="D77" s="68">
        <f>+D74/12</f>
        <v>270.375</v>
      </c>
      <c r="E77" s="68">
        <f>+E74/12</f>
        <v>365.00625000000008</v>
      </c>
      <c r="F77" s="68">
        <f>+F74/12</f>
        <v>503.38417499999997</v>
      </c>
      <c r="G77" s="69">
        <f>+G74/12</f>
        <v>703.20454837499994</v>
      </c>
      <c r="H77" s="56"/>
      <c r="I77" s="56"/>
      <c r="J77" s="56"/>
      <c r="K77" s="8"/>
      <c r="L77" s="8"/>
      <c r="M77" s="8"/>
      <c r="N77" s="8"/>
    </row>
    <row r="78" spans="1:14">
      <c r="A78" s="8"/>
      <c r="B78" s="148" t="s">
        <v>29</v>
      </c>
      <c r="C78" s="68">
        <f>C74*0.1215</f>
        <v>302.53499999999997</v>
      </c>
      <c r="D78" s="68">
        <f>D74*0.1215</f>
        <v>394.20675</v>
      </c>
      <c r="E78" s="68">
        <f>E74*0.1215</f>
        <v>532.17911250000009</v>
      </c>
      <c r="F78" s="68">
        <f>F74*0.1215</f>
        <v>733.93412714999999</v>
      </c>
      <c r="G78" s="69">
        <f>G74*0.1215</f>
        <v>1025.2722315307499</v>
      </c>
      <c r="H78" s="56"/>
      <c r="I78" s="56"/>
      <c r="J78" s="56"/>
      <c r="K78" s="8"/>
      <c r="L78" s="8"/>
      <c r="M78" s="8"/>
      <c r="N78" s="8"/>
    </row>
    <row r="79" spans="1:14">
      <c r="A79" s="8"/>
      <c r="B79" s="148" t="s">
        <v>44</v>
      </c>
      <c r="C79" s="164">
        <f>SUM(C76:C78)</f>
        <v>717.53499999999997</v>
      </c>
      <c r="D79" s="164">
        <f>SUM(D76:D78)</f>
        <v>934.95675000000006</v>
      </c>
      <c r="E79" s="164">
        <f>SUM(E76:E78)</f>
        <v>1262.1916125000002</v>
      </c>
      <c r="F79" s="164">
        <f>SUM(F76:F78)</f>
        <v>1740.70247715</v>
      </c>
      <c r="G79" s="165">
        <f>SUM(G76:G78)</f>
        <v>2431.6813282807498</v>
      </c>
      <c r="H79" s="56"/>
      <c r="I79" s="56"/>
      <c r="J79" s="56"/>
      <c r="K79" s="8"/>
      <c r="L79" s="8"/>
      <c r="M79" s="8"/>
      <c r="N79" s="8"/>
    </row>
    <row r="80" spans="1:14" ht="16.5" thickBot="1">
      <c r="A80" s="8"/>
      <c r="B80" s="151"/>
      <c r="C80" s="167"/>
      <c r="D80" s="167"/>
      <c r="E80" s="167"/>
      <c r="F80" s="167"/>
      <c r="G80" s="168"/>
      <c r="H80" s="56"/>
      <c r="I80" s="56"/>
      <c r="J80" s="56"/>
      <c r="K80" s="8"/>
      <c r="L80" s="8"/>
      <c r="M80" s="8"/>
      <c r="N80" s="8"/>
    </row>
    <row r="81" spans="1:14" ht="16.5" thickBot="1">
      <c r="A81" s="8"/>
      <c r="B81" s="136" t="s">
        <v>30</v>
      </c>
      <c r="C81" s="169">
        <f>C74+C79</f>
        <v>3207.5349999999999</v>
      </c>
      <c r="D81" s="169">
        <f>D74+D79</f>
        <v>4179.4567500000003</v>
      </c>
      <c r="E81" s="169">
        <f>E74+E79</f>
        <v>5642.2666125000014</v>
      </c>
      <c r="F81" s="169">
        <f>F74+F79</f>
        <v>7781.3125771499999</v>
      </c>
      <c r="G81" s="170">
        <f>G74+G79</f>
        <v>10870.13590878075</v>
      </c>
      <c r="H81" s="56"/>
      <c r="I81" s="56"/>
      <c r="J81" s="56"/>
      <c r="K81" s="8"/>
      <c r="L81" s="8"/>
      <c r="M81" s="8"/>
      <c r="N81" s="8"/>
    </row>
    <row r="82" spans="1:14">
      <c r="A82" s="8"/>
      <c r="B82" s="56"/>
      <c r="C82" s="56"/>
      <c r="D82" s="56"/>
      <c r="E82" s="56"/>
      <c r="F82" s="56"/>
      <c r="G82" s="56"/>
      <c r="H82" s="56"/>
      <c r="I82" s="56"/>
      <c r="J82" s="56"/>
      <c r="K82" s="8"/>
      <c r="L82" s="8"/>
      <c r="M82" s="8"/>
      <c r="N82" s="8"/>
    </row>
    <row r="83" spans="1:14">
      <c r="A83" s="8"/>
      <c r="B83" s="56"/>
      <c r="C83" s="56"/>
      <c r="D83" s="56"/>
      <c r="E83" s="56"/>
      <c r="F83" s="56"/>
      <c r="G83" s="56"/>
      <c r="H83" s="56"/>
      <c r="I83" s="56"/>
      <c r="J83" s="56"/>
      <c r="K83" s="8"/>
      <c r="L83" s="8"/>
      <c r="M83" s="8"/>
      <c r="N83" s="8"/>
    </row>
    <row r="84" spans="1:14">
      <c r="A84" s="8"/>
      <c r="B84" s="56"/>
      <c r="C84" s="56"/>
      <c r="D84" s="56"/>
      <c r="E84" s="56"/>
      <c r="F84" s="56"/>
      <c r="G84" s="56"/>
      <c r="H84" s="56"/>
      <c r="I84" s="56"/>
      <c r="J84" s="56"/>
      <c r="K84" s="8"/>
      <c r="L84" s="8"/>
      <c r="M84" s="8"/>
      <c r="N84" s="8"/>
    </row>
    <row r="85" spans="1:14" ht="16.5" thickBot="1">
      <c r="A85" s="8"/>
      <c r="B85" s="54" t="s">
        <v>31</v>
      </c>
      <c r="C85" s="55"/>
      <c r="D85" s="55"/>
      <c r="E85" s="55"/>
      <c r="F85" s="56"/>
      <c r="G85" s="56"/>
      <c r="H85" s="56"/>
      <c r="I85" s="56"/>
      <c r="J85" s="56"/>
      <c r="K85" s="8"/>
      <c r="L85" s="8"/>
      <c r="M85" s="8"/>
      <c r="N85" s="8"/>
    </row>
    <row r="86" spans="1:14" ht="16.5" thickBot="1">
      <c r="A86" s="8"/>
      <c r="B86" s="57" t="s">
        <v>24</v>
      </c>
      <c r="C86" s="58" t="s">
        <v>41</v>
      </c>
      <c r="D86" s="59" t="s">
        <v>14</v>
      </c>
      <c r="E86" s="59" t="s">
        <v>15</v>
      </c>
      <c r="F86" s="59" t="s">
        <v>16</v>
      </c>
      <c r="G86" s="59" t="s">
        <v>17</v>
      </c>
      <c r="H86" s="58" t="s">
        <v>18</v>
      </c>
      <c r="I86" s="56"/>
      <c r="J86" s="56"/>
      <c r="K86" s="8"/>
      <c r="L86" s="8"/>
      <c r="M86" s="8"/>
      <c r="N86" s="8"/>
    </row>
    <row r="87" spans="1:14">
      <c r="A87" s="8"/>
      <c r="B87" s="60" t="s">
        <v>32</v>
      </c>
      <c r="C87" s="61">
        <v>1200</v>
      </c>
      <c r="D87" s="62">
        <f>+$C$87*12</f>
        <v>14400</v>
      </c>
      <c r="E87" s="62">
        <f>+(D87)*$M$90</f>
        <v>15120</v>
      </c>
      <c r="F87" s="62">
        <f t="shared" ref="F87:G87" si="7">+(E87)*$M$90</f>
        <v>15876</v>
      </c>
      <c r="G87" s="62">
        <f t="shared" si="7"/>
        <v>16669.8</v>
      </c>
      <c r="H87" s="63">
        <f>+(G87)*$M$90</f>
        <v>17503.29</v>
      </c>
      <c r="I87" s="56"/>
      <c r="J87" s="56"/>
      <c r="K87" s="8"/>
      <c r="L87" s="8"/>
      <c r="M87" s="8"/>
      <c r="N87" s="8"/>
    </row>
    <row r="88" spans="1:14">
      <c r="A88" s="8"/>
      <c r="B88" s="60" t="s">
        <v>33</v>
      </c>
      <c r="C88" s="61">
        <f>+J17</f>
        <v>400</v>
      </c>
      <c r="D88" s="62">
        <f>+$C$88*12</f>
        <v>4800</v>
      </c>
      <c r="E88" s="62">
        <f>+D88*$M$90</f>
        <v>5040</v>
      </c>
      <c r="F88" s="62">
        <f t="shared" ref="F88:G88" si="8">+E88*$M$90</f>
        <v>5292</v>
      </c>
      <c r="G88" s="62">
        <f t="shared" si="8"/>
        <v>5556.6</v>
      </c>
      <c r="H88" s="63">
        <f>+G88*$M$90</f>
        <v>5834.43</v>
      </c>
      <c r="I88" s="56"/>
      <c r="J88" s="56"/>
      <c r="K88" s="8"/>
      <c r="L88" s="8"/>
      <c r="M88" s="8"/>
      <c r="N88" s="8"/>
    </row>
    <row r="89" spans="1:14" ht="16.5" thickBot="1">
      <c r="A89" s="8"/>
      <c r="B89" s="64" t="s">
        <v>167</v>
      </c>
      <c r="C89" s="61">
        <f>+J17</f>
        <v>400</v>
      </c>
      <c r="D89" s="62">
        <f>+C89*12</f>
        <v>4800</v>
      </c>
      <c r="E89" s="62">
        <f>+D89*$M$90</f>
        <v>5040</v>
      </c>
      <c r="F89" s="62">
        <f t="shared" ref="F89:G89" si="9">+E89*$M$90</f>
        <v>5292</v>
      </c>
      <c r="G89" s="62">
        <f t="shared" si="9"/>
        <v>5556.6</v>
      </c>
      <c r="H89" s="63">
        <f>+G89*$M$90</f>
        <v>5834.43</v>
      </c>
      <c r="I89" s="56"/>
      <c r="J89" s="56"/>
      <c r="K89" s="8"/>
      <c r="L89" s="8"/>
      <c r="M89" s="8"/>
      <c r="N89" s="8"/>
    </row>
    <row r="90" spans="1:14" ht="16.5" thickBot="1">
      <c r="A90" s="8"/>
      <c r="B90" s="60" t="s">
        <v>34</v>
      </c>
      <c r="C90" s="61">
        <f>+J15</f>
        <v>800</v>
      </c>
      <c r="D90" s="62">
        <f>+C90*12</f>
        <v>9600</v>
      </c>
      <c r="E90" s="62">
        <f>+D90*$M$90</f>
        <v>10080</v>
      </c>
      <c r="F90" s="62">
        <f t="shared" ref="F90:G90" si="10">+E90*$M$90</f>
        <v>10584</v>
      </c>
      <c r="G90" s="62">
        <f t="shared" si="10"/>
        <v>11113.2</v>
      </c>
      <c r="H90" s="63">
        <f>+G90*$M$90</f>
        <v>11668.86</v>
      </c>
      <c r="I90" s="56"/>
      <c r="J90" s="57" t="s">
        <v>169</v>
      </c>
      <c r="K90" s="30"/>
      <c r="L90" s="31">
        <v>0.05</v>
      </c>
      <c r="M90" s="32">
        <v>1.05</v>
      </c>
      <c r="N90" s="8"/>
    </row>
    <row r="91" spans="1:14">
      <c r="A91" s="8"/>
      <c r="B91" s="60" t="s">
        <v>168</v>
      </c>
      <c r="C91" s="61">
        <f>+J16</f>
        <v>500</v>
      </c>
      <c r="D91" s="62">
        <f>+C91*12</f>
        <v>6000</v>
      </c>
      <c r="E91" s="62">
        <f>+D91*$M$90</f>
        <v>6300</v>
      </c>
      <c r="F91" s="62">
        <f t="shared" ref="F91:G91" si="11">+E91*$M$90</f>
        <v>6615</v>
      </c>
      <c r="G91" s="62">
        <f t="shared" si="11"/>
        <v>6945.75</v>
      </c>
      <c r="H91" s="63">
        <f>+G91*$M$90</f>
        <v>7293.0375000000004</v>
      </c>
      <c r="I91" s="56"/>
      <c r="J91" s="56"/>
      <c r="K91" s="8"/>
      <c r="L91" s="8"/>
      <c r="M91" s="8"/>
      <c r="N91" s="8"/>
    </row>
    <row r="92" spans="1:14">
      <c r="A92" s="8"/>
      <c r="B92" s="60" t="s">
        <v>40</v>
      </c>
      <c r="C92" s="61"/>
      <c r="D92" s="62">
        <f>SUM(D87:D91)</f>
        <v>39600</v>
      </c>
      <c r="E92" s="62">
        <f>SUM(E87:E91)</f>
        <v>41580</v>
      </c>
      <c r="F92" s="62">
        <f t="shared" ref="F92:H92" si="12">SUM(F87:F91)</f>
        <v>43659</v>
      </c>
      <c r="G92" s="62">
        <f t="shared" si="12"/>
        <v>45841.95</v>
      </c>
      <c r="H92" s="63">
        <f t="shared" si="12"/>
        <v>48134.047500000001</v>
      </c>
      <c r="I92" s="56"/>
      <c r="J92" s="56"/>
      <c r="K92" s="8"/>
      <c r="L92" s="8"/>
      <c r="M92" s="8"/>
      <c r="N92" s="8"/>
    </row>
    <row r="93" spans="1:14">
      <c r="A93" s="8"/>
      <c r="B93" s="60"/>
      <c r="C93" s="61"/>
      <c r="D93" s="62"/>
      <c r="E93" s="62"/>
      <c r="F93" s="62"/>
      <c r="G93" s="62"/>
      <c r="H93" s="63"/>
      <c r="I93" s="56"/>
      <c r="J93" s="56"/>
      <c r="K93" s="8"/>
      <c r="L93" s="8"/>
      <c r="M93" s="8"/>
      <c r="N93" s="8"/>
    </row>
    <row r="94" spans="1:14">
      <c r="A94" s="8"/>
      <c r="B94" s="60" t="s">
        <v>68</v>
      </c>
      <c r="C94" s="61"/>
      <c r="D94" s="62">
        <f>+'Inversiones, Deprec., Amort'!I31</f>
        <v>5300</v>
      </c>
      <c r="E94" s="62">
        <f>+'Inversiones, Deprec., Amort'!J31</f>
        <v>5300</v>
      </c>
      <c r="F94" s="62">
        <f>+'Inversiones, Deprec., Amort'!K31</f>
        <v>8633.3333333333339</v>
      </c>
      <c r="G94" s="62">
        <f>+'Inversiones, Deprec., Amort'!L31</f>
        <v>3633.3333333333335</v>
      </c>
      <c r="H94" s="63">
        <f>+'Inversiones, Deprec., Amort'!M31</f>
        <v>6966.666666666667</v>
      </c>
      <c r="I94" s="56"/>
      <c r="J94" s="56"/>
      <c r="K94" s="8"/>
      <c r="L94" s="8"/>
      <c r="M94" s="8"/>
      <c r="N94" s="8"/>
    </row>
    <row r="95" spans="1:14">
      <c r="A95" s="8"/>
      <c r="B95" s="60" t="s">
        <v>177</v>
      </c>
      <c r="C95" s="61"/>
      <c r="D95" s="62">
        <f>+'Inversiones, Deprec., Amort'!I37</f>
        <v>5000</v>
      </c>
      <c r="E95" s="62">
        <f>+D95</f>
        <v>5000</v>
      </c>
      <c r="F95" s="62">
        <f>+'Inversiones, Deprec., Amort'!K37</f>
        <v>6000</v>
      </c>
      <c r="G95" s="62">
        <f>+'Inversiones, Deprec., Amort'!L37</f>
        <v>6000</v>
      </c>
      <c r="H95" s="63">
        <f>+'Inversiones, Deprec., Amort'!M37</f>
        <v>7000</v>
      </c>
      <c r="I95" s="56"/>
      <c r="J95" s="56"/>
      <c r="K95" s="8"/>
      <c r="L95" s="8"/>
      <c r="M95" s="8"/>
      <c r="N95" s="8"/>
    </row>
    <row r="96" spans="1:14">
      <c r="A96" s="8"/>
      <c r="B96" s="60"/>
      <c r="C96" s="61"/>
      <c r="D96" s="62"/>
      <c r="E96" s="62"/>
      <c r="F96" s="62"/>
      <c r="G96" s="62"/>
      <c r="H96" s="63"/>
      <c r="I96" s="56"/>
      <c r="J96" s="56"/>
      <c r="K96" s="8"/>
      <c r="L96" s="8"/>
      <c r="M96" s="8"/>
      <c r="N96" s="8"/>
    </row>
    <row r="97" spans="1:14">
      <c r="A97" s="8"/>
      <c r="B97" s="60" t="s">
        <v>197</v>
      </c>
      <c r="C97" s="61"/>
      <c r="D97" s="62">
        <f>+D92/12</f>
        <v>3300</v>
      </c>
      <c r="E97" s="62">
        <f>+E92/12</f>
        <v>3465</v>
      </c>
      <c r="F97" s="62">
        <f>+F92/12</f>
        <v>3638.25</v>
      </c>
      <c r="G97" s="62">
        <f>+G92/12</f>
        <v>3820.1624999999999</v>
      </c>
      <c r="H97" s="63">
        <f>+H92/12</f>
        <v>4011.1706250000002</v>
      </c>
      <c r="I97" s="56"/>
      <c r="J97" s="56"/>
      <c r="K97" s="8"/>
      <c r="L97" s="8"/>
      <c r="M97" s="8"/>
      <c r="N97" s="8"/>
    </row>
    <row r="98" spans="1:14">
      <c r="A98" s="8"/>
      <c r="B98" s="60" t="s">
        <v>35</v>
      </c>
      <c r="C98" s="61"/>
      <c r="D98" s="62">
        <f>+D92/12</f>
        <v>3300</v>
      </c>
      <c r="E98" s="62">
        <f>+E92/12</f>
        <v>3465</v>
      </c>
      <c r="F98" s="62">
        <f>+F92/12</f>
        <v>3638.25</v>
      </c>
      <c r="G98" s="62">
        <f>+G92/12</f>
        <v>3820.1624999999999</v>
      </c>
      <c r="H98" s="63">
        <f>+H92/12</f>
        <v>4011.1706250000002</v>
      </c>
      <c r="I98" s="56"/>
      <c r="J98" s="56"/>
      <c r="K98" s="8"/>
      <c r="L98" s="8"/>
      <c r="M98" s="8"/>
      <c r="N98" s="8"/>
    </row>
    <row r="99" spans="1:14">
      <c r="A99" s="8"/>
      <c r="B99" s="60" t="s">
        <v>36</v>
      </c>
      <c r="C99" s="61"/>
      <c r="D99" s="62">
        <f>+D92*0.1215</f>
        <v>4811.3999999999996</v>
      </c>
      <c r="E99" s="62">
        <f>+E92*0.1215</f>
        <v>5051.97</v>
      </c>
      <c r="F99" s="62">
        <f>+F92*0.1215</f>
        <v>5304.5685000000003</v>
      </c>
      <c r="G99" s="62">
        <f>+G92*0.1215</f>
        <v>5569.7969249999996</v>
      </c>
      <c r="H99" s="63">
        <f>+H92*0.1215</f>
        <v>5848.2867712500001</v>
      </c>
      <c r="I99" s="56"/>
      <c r="J99" s="56"/>
      <c r="K99" s="8"/>
      <c r="L99" s="8"/>
      <c r="M99" s="8"/>
      <c r="N99" s="8"/>
    </row>
    <row r="100" spans="1:14">
      <c r="A100" s="8"/>
      <c r="B100" s="60" t="s">
        <v>198</v>
      </c>
      <c r="C100" s="61"/>
      <c r="D100" s="62">
        <f>+(292*(5))</f>
        <v>1460</v>
      </c>
      <c r="E100" s="62">
        <f t="shared" ref="E100:H100" si="13">+(292*(5))</f>
        <v>1460</v>
      </c>
      <c r="F100" s="62">
        <f t="shared" si="13"/>
        <v>1460</v>
      </c>
      <c r="G100" s="62">
        <f t="shared" si="13"/>
        <v>1460</v>
      </c>
      <c r="H100" s="63">
        <f t="shared" si="13"/>
        <v>1460</v>
      </c>
      <c r="I100" s="56"/>
      <c r="J100" s="56"/>
      <c r="K100" s="8"/>
      <c r="L100" s="8"/>
      <c r="M100" s="8"/>
      <c r="N100" s="8"/>
    </row>
    <row r="101" spans="1:14">
      <c r="A101" s="8"/>
      <c r="B101" s="60" t="s">
        <v>42</v>
      </c>
      <c r="C101" s="61"/>
      <c r="D101" s="65">
        <f>SUM(D97:D100)</f>
        <v>12871.4</v>
      </c>
      <c r="E101" s="65">
        <f>SUM(E97:E100)</f>
        <v>13441.970000000001</v>
      </c>
      <c r="F101" s="65">
        <f>SUM(F97:F100)</f>
        <v>14041.068500000001</v>
      </c>
      <c r="G101" s="65">
        <f>SUM(G97:G100)</f>
        <v>14670.121924999999</v>
      </c>
      <c r="H101" s="66">
        <f>SUM(H97:H100)</f>
        <v>15330.628021250001</v>
      </c>
      <c r="I101" s="56"/>
      <c r="J101" s="56"/>
      <c r="K101" s="8"/>
      <c r="L101" s="8"/>
      <c r="M101" s="8"/>
      <c r="N101" s="8"/>
    </row>
    <row r="102" spans="1:14">
      <c r="A102" s="8"/>
      <c r="B102" s="60"/>
      <c r="C102" s="61"/>
      <c r="D102" s="62"/>
      <c r="E102" s="62"/>
      <c r="F102" s="62"/>
      <c r="G102" s="62"/>
      <c r="H102" s="63"/>
      <c r="I102" s="56"/>
      <c r="J102" s="56"/>
      <c r="K102" s="8"/>
      <c r="L102" s="8"/>
      <c r="M102" s="8"/>
      <c r="N102" s="8"/>
    </row>
    <row r="103" spans="1:14">
      <c r="A103" s="8"/>
      <c r="B103" s="60" t="s">
        <v>37</v>
      </c>
      <c r="C103" s="61">
        <v>1500</v>
      </c>
      <c r="D103" s="62">
        <f>+$C$103*12</f>
        <v>18000</v>
      </c>
      <c r="E103" s="62">
        <f>+$C$103*12</f>
        <v>18000</v>
      </c>
      <c r="F103" s="62">
        <f>+$C$103*12</f>
        <v>18000</v>
      </c>
      <c r="G103" s="62">
        <f>+$C$103*12</f>
        <v>18000</v>
      </c>
      <c r="H103" s="63">
        <f>+$C$103*12</f>
        <v>18000</v>
      </c>
      <c r="I103" s="56"/>
      <c r="J103" s="56"/>
      <c r="K103" s="8"/>
      <c r="L103" s="8"/>
      <c r="M103" s="8"/>
      <c r="N103" s="8"/>
    </row>
    <row r="104" spans="1:14">
      <c r="A104" s="8"/>
      <c r="B104" s="60" t="s">
        <v>38</v>
      </c>
      <c r="C104" s="61">
        <v>800</v>
      </c>
      <c r="D104" s="62">
        <f>+$C$104*12</f>
        <v>9600</v>
      </c>
      <c r="E104" s="62">
        <f>+$C$104*12</f>
        <v>9600</v>
      </c>
      <c r="F104" s="62">
        <f>+$C$104*12</f>
        <v>9600</v>
      </c>
      <c r="G104" s="62">
        <f>+$C$104*12</f>
        <v>9600</v>
      </c>
      <c r="H104" s="63">
        <f>+$C$104*12</f>
        <v>9600</v>
      </c>
      <c r="I104" s="56"/>
      <c r="J104" s="56"/>
      <c r="K104" s="8"/>
      <c r="L104" s="8"/>
      <c r="M104" s="8"/>
      <c r="N104" s="8"/>
    </row>
    <row r="105" spans="1:14">
      <c r="A105" s="8"/>
      <c r="B105" s="60" t="s">
        <v>39</v>
      </c>
      <c r="C105" s="67">
        <v>1.2E-2</v>
      </c>
      <c r="D105" s="68">
        <f>+$C$105*C64</f>
        <v>996</v>
      </c>
      <c r="E105" s="68">
        <f>+$C$105*D64</f>
        <v>1297.8</v>
      </c>
      <c r="F105" s="68">
        <f>+$C$105*E64</f>
        <v>1752.03</v>
      </c>
      <c r="G105" s="68">
        <f>+$C$105*F64</f>
        <v>2416.24404</v>
      </c>
      <c r="H105" s="69">
        <f>+$C$105*G64</f>
        <v>3375.3818322000002</v>
      </c>
      <c r="I105" s="56"/>
      <c r="J105" s="56"/>
      <c r="K105" s="8"/>
      <c r="L105" s="8"/>
      <c r="M105" s="8"/>
      <c r="N105" s="8"/>
    </row>
    <row r="106" spans="1:14">
      <c r="A106" s="8"/>
      <c r="B106" s="60" t="s">
        <v>43</v>
      </c>
      <c r="C106" s="70"/>
      <c r="D106" s="65">
        <f>SUM(D103:D105)</f>
        <v>28596</v>
      </c>
      <c r="E106" s="65">
        <f>SUM(E103:E105)</f>
        <v>28897.8</v>
      </c>
      <c r="F106" s="65">
        <f>SUM(F103:F105)</f>
        <v>29352.03</v>
      </c>
      <c r="G106" s="65">
        <f>SUM(G103:G105)</f>
        <v>30016.244040000001</v>
      </c>
      <c r="H106" s="66">
        <f>SUM(H103:H105)</f>
        <v>30975.381832200001</v>
      </c>
      <c r="I106" s="56"/>
      <c r="J106" s="56"/>
      <c r="K106" s="8"/>
      <c r="L106" s="8"/>
      <c r="M106" s="8"/>
      <c r="N106" s="8"/>
    </row>
    <row r="107" spans="1:14" ht="16.5" thickBot="1">
      <c r="A107" s="8"/>
      <c r="B107" s="71"/>
      <c r="C107" s="72"/>
      <c r="D107" s="73"/>
      <c r="E107" s="73"/>
      <c r="F107" s="73"/>
      <c r="G107" s="73"/>
      <c r="H107" s="74"/>
      <c r="I107" s="56"/>
      <c r="J107" s="56"/>
      <c r="K107" s="8"/>
      <c r="L107" s="8"/>
      <c r="M107" s="8"/>
      <c r="N107" s="8"/>
    </row>
    <row r="108" spans="1:14" ht="16.5" thickBot="1">
      <c r="A108" s="8"/>
      <c r="B108" s="75" t="s">
        <v>45</v>
      </c>
      <c r="C108" s="76"/>
      <c r="D108" s="77">
        <f>+D92+D101+D106+D94-D95</f>
        <v>81367.399999999994</v>
      </c>
      <c r="E108" s="77">
        <f t="shared" ref="E108:G108" si="14">+E92+E101+E106+E94-E95</f>
        <v>84219.77</v>
      </c>
      <c r="F108" s="77">
        <f t="shared" si="14"/>
        <v>89685.431833333321</v>
      </c>
      <c r="G108" s="77">
        <f t="shared" si="14"/>
        <v>88161.64929833333</v>
      </c>
      <c r="H108" s="78">
        <f>+H92+H101+H106+H94-H95</f>
        <v>94406.724020116671</v>
      </c>
      <c r="I108" s="56"/>
      <c r="J108" s="56"/>
      <c r="K108" s="8"/>
      <c r="L108" s="8"/>
      <c r="M108" s="8"/>
      <c r="N108" s="8"/>
    </row>
    <row r="109" spans="1:14">
      <c r="A109" s="8"/>
      <c r="B109" s="56"/>
      <c r="C109" s="56"/>
      <c r="D109" s="56"/>
      <c r="E109" s="56"/>
      <c r="F109" s="56"/>
      <c r="G109" s="56"/>
      <c r="H109" s="56"/>
      <c r="I109" s="56"/>
      <c r="J109" s="56"/>
      <c r="K109" s="8"/>
      <c r="L109" s="8"/>
      <c r="M109" s="8"/>
      <c r="N109" s="8"/>
    </row>
    <row r="110" spans="1:14">
      <c r="A110" s="8"/>
      <c r="B110" s="56"/>
      <c r="C110" s="56"/>
      <c r="D110" s="56"/>
      <c r="E110" s="56"/>
      <c r="F110" s="56"/>
      <c r="G110" s="56"/>
      <c r="H110" s="56"/>
      <c r="I110" s="85"/>
      <c r="J110" s="56"/>
      <c r="K110" s="8"/>
      <c r="L110" s="8"/>
      <c r="M110" s="8"/>
      <c r="N110" s="8"/>
    </row>
    <row r="111" spans="1:14">
      <c r="A111" s="8"/>
      <c r="B111" s="56"/>
      <c r="C111" s="56"/>
      <c r="D111" s="56"/>
      <c r="E111" s="56"/>
      <c r="F111" s="56"/>
      <c r="G111" s="56"/>
      <c r="H111" s="56"/>
      <c r="I111" s="56"/>
      <c r="J111" s="56"/>
      <c r="K111" s="8"/>
      <c r="L111" s="8"/>
      <c r="M111" s="8"/>
      <c r="N111" s="8"/>
    </row>
    <row r="112" spans="1:14" ht="16.5" thickBot="1">
      <c r="A112" s="8"/>
      <c r="B112" s="171" t="s">
        <v>46</v>
      </c>
      <c r="C112" s="128"/>
      <c r="D112" s="172"/>
      <c r="E112" s="86"/>
      <c r="F112" s="56"/>
      <c r="G112" s="56"/>
      <c r="H112" s="56"/>
      <c r="I112" s="56"/>
      <c r="J112" s="56"/>
      <c r="K112" s="8"/>
      <c r="L112" s="8"/>
      <c r="M112" s="8"/>
      <c r="N112" s="8"/>
    </row>
    <row r="113" spans="1:14" ht="16.5" thickBot="1">
      <c r="A113" s="8"/>
      <c r="B113" s="161" t="s">
        <v>24</v>
      </c>
      <c r="C113" s="173" t="s">
        <v>14</v>
      </c>
      <c r="D113" s="173" t="s">
        <v>15</v>
      </c>
      <c r="E113" s="173" t="s">
        <v>16</v>
      </c>
      <c r="F113" s="173" t="s">
        <v>17</v>
      </c>
      <c r="G113" s="174" t="s">
        <v>18</v>
      </c>
      <c r="H113" s="56"/>
      <c r="I113" s="56"/>
      <c r="J113" s="56"/>
      <c r="K113" s="8"/>
      <c r="L113" s="8"/>
      <c r="M113" s="8"/>
      <c r="N113" s="8"/>
    </row>
    <row r="114" spans="1:14" ht="16.5" thickBot="1">
      <c r="A114" s="8"/>
      <c r="B114" s="261" t="s">
        <v>47</v>
      </c>
      <c r="C114" s="175"/>
      <c r="D114" s="175"/>
      <c r="E114" s="175"/>
      <c r="F114" s="175"/>
      <c r="G114" s="176"/>
      <c r="H114" s="56"/>
      <c r="I114" s="56"/>
      <c r="J114" s="56"/>
      <c r="K114" s="8"/>
      <c r="L114" s="8"/>
      <c r="M114" s="8"/>
      <c r="N114" s="8"/>
    </row>
    <row r="115" spans="1:14">
      <c r="A115" s="8"/>
      <c r="B115" s="148" t="s">
        <v>48</v>
      </c>
      <c r="C115" s="62">
        <f>+C64</f>
        <v>83000</v>
      </c>
      <c r="D115" s="62">
        <f>+D64</f>
        <v>108150</v>
      </c>
      <c r="E115" s="62">
        <f>+E64</f>
        <v>146002.5</v>
      </c>
      <c r="F115" s="62">
        <f>+F64</f>
        <v>201353.66999999998</v>
      </c>
      <c r="G115" s="63">
        <f>+G64</f>
        <v>281281.81935000001</v>
      </c>
      <c r="H115" s="56"/>
      <c r="I115" s="56"/>
      <c r="J115" s="56"/>
      <c r="K115" s="8"/>
      <c r="L115" s="8"/>
      <c r="M115" s="8"/>
      <c r="N115" s="8"/>
    </row>
    <row r="116" spans="1:14">
      <c r="A116" s="8"/>
      <c r="B116" s="148" t="s">
        <v>49</v>
      </c>
      <c r="C116" s="62"/>
      <c r="D116" s="62"/>
      <c r="E116" s="62"/>
      <c r="F116" s="62"/>
      <c r="G116" s="63"/>
      <c r="H116" s="56"/>
      <c r="I116" s="56"/>
      <c r="J116" s="56"/>
      <c r="K116" s="8"/>
      <c r="L116" s="8"/>
      <c r="M116" s="8"/>
      <c r="N116" s="8"/>
    </row>
    <row r="117" spans="1:14">
      <c r="A117" s="8"/>
      <c r="B117" s="148" t="s">
        <v>50</v>
      </c>
      <c r="C117" s="62">
        <f>+C115+C116</f>
        <v>83000</v>
      </c>
      <c r="D117" s="62">
        <f t="shared" ref="D117:E117" si="15">+D115+D116</f>
        <v>108150</v>
      </c>
      <c r="E117" s="62">
        <f t="shared" si="15"/>
        <v>146002.5</v>
      </c>
      <c r="F117" s="62">
        <f>+F115+F116</f>
        <v>201353.66999999998</v>
      </c>
      <c r="G117" s="63">
        <f>+G115+G116</f>
        <v>281281.81935000001</v>
      </c>
      <c r="H117" s="56"/>
      <c r="I117" s="56"/>
      <c r="J117" s="56"/>
      <c r="K117" s="8"/>
      <c r="L117" s="8"/>
      <c r="M117" s="8"/>
      <c r="N117" s="8"/>
    </row>
    <row r="118" spans="1:14">
      <c r="A118" s="8"/>
      <c r="B118" s="148"/>
      <c r="C118" s="62"/>
      <c r="D118" s="62"/>
      <c r="E118" s="62"/>
      <c r="F118" s="62"/>
      <c r="G118" s="63"/>
      <c r="H118" s="56"/>
      <c r="I118" s="56"/>
      <c r="J118" s="56"/>
      <c r="K118" s="8"/>
      <c r="L118" s="8"/>
      <c r="M118" s="8"/>
      <c r="N118" s="8"/>
    </row>
    <row r="119" spans="1:14" ht="16.5" thickBot="1">
      <c r="A119" s="8"/>
      <c r="B119" s="151" t="s">
        <v>51</v>
      </c>
      <c r="C119" s="62"/>
      <c r="D119" s="62"/>
      <c r="E119" s="62"/>
      <c r="F119" s="62"/>
      <c r="G119" s="63"/>
      <c r="H119" s="56"/>
      <c r="I119" s="56"/>
      <c r="J119" s="56"/>
      <c r="K119" s="8"/>
      <c r="L119" s="8"/>
      <c r="M119" s="8"/>
      <c r="N119" s="8"/>
    </row>
    <row r="120" spans="1:14">
      <c r="A120" s="8"/>
      <c r="B120" s="148" t="s">
        <v>52</v>
      </c>
      <c r="C120" s="62">
        <f>+D108</f>
        <v>81367.399999999994</v>
      </c>
      <c r="D120" s="62">
        <f>+E108</f>
        <v>84219.77</v>
      </c>
      <c r="E120" s="62">
        <f>+F108</f>
        <v>89685.431833333321</v>
      </c>
      <c r="F120" s="62">
        <f>+G108</f>
        <v>88161.64929833333</v>
      </c>
      <c r="G120" s="63">
        <f>+H108</f>
        <v>94406.724020116671</v>
      </c>
      <c r="H120" s="56"/>
      <c r="I120" s="56"/>
      <c r="J120" s="56"/>
      <c r="K120" s="8"/>
      <c r="L120" s="8"/>
      <c r="M120" s="8"/>
      <c r="N120" s="8"/>
    </row>
    <row r="121" spans="1:14">
      <c r="A121" s="8"/>
      <c r="B121" s="148" t="s">
        <v>53</v>
      </c>
      <c r="C121" s="62">
        <f>+C81</f>
        <v>3207.5349999999999</v>
      </c>
      <c r="D121" s="62">
        <f>+D81</f>
        <v>4179.4567500000003</v>
      </c>
      <c r="E121" s="62">
        <f>+E81</f>
        <v>5642.2666125000014</v>
      </c>
      <c r="F121" s="62">
        <f>+F81</f>
        <v>7781.3125771499999</v>
      </c>
      <c r="G121" s="63">
        <f>+G81</f>
        <v>10870.13590878075</v>
      </c>
      <c r="H121" s="56"/>
      <c r="I121" s="56"/>
      <c r="J121" s="56"/>
      <c r="K121" s="8"/>
      <c r="L121" s="8"/>
      <c r="M121" s="8"/>
      <c r="N121" s="8"/>
    </row>
    <row r="122" spans="1:14">
      <c r="A122" s="8"/>
      <c r="B122" s="148" t="s">
        <v>54</v>
      </c>
      <c r="C122" s="62"/>
      <c r="D122" s="62"/>
      <c r="E122" s="62"/>
      <c r="F122" s="62"/>
      <c r="G122" s="63"/>
      <c r="H122" s="56"/>
      <c r="I122" s="56"/>
      <c r="J122" s="56"/>
      <c r="K122" s="8"/>
      <c r="L122" s="8"/>
      <c r="M122" s="8"/>
      <c r="N122" s="8"/>
    </row>
    <row r="123" spans="1:14">
      <c r="A123" s="8"/>
      <c r="B123" s="148" t="s">
        <v>55</v>
      </c>
      <c r="C123" s="62"/>
      <c r="D123" s="62"/>
      <c r="E123" s="62"/>
      <c r="F123" s="62"/>
      <c r="G123" s="63"/>
      <c r="H123" s="56"/>
      <c r="I123" s="56"/>
      <c r="J123" s="56"/>
      <c r="K123" s="8"/>
      <c r="L123" s="8"/>
      <c r="M123" s="8"/>
      <c r="N123" s="8"/>
    </row>
    <row r="124" spans="1:14">
      <c r="A124" s="8"/>
      <c r="B124" s="148" t="s">
        <v>200</v>
      </c>
      <c r="C124" s="62">
        <f>+C120+C121</f>
        <v>84574.934999999998</v>
      </c>
      <c r="D124" s="62">
        <f t="shared" ref="D124:G124" si="16">+D120+D121</f>
        <v>88399.226750000002</v>
      </c>
      <c r="E124" s="62">
        <f t="shared" si="16"/>
        <v>95327.698445833317</v>
      </c>
      <c r="F124" s="62">
        <f t="shared" si="16"/>
        <v>95942.961875483335</v>
      </c>
      <c r="G124" s="63">
        <f t="shared" si="16"/>
        <v>105276.85992889742</v>
      </c>
      <c r="H124" s="56"/>
      <c r="I124" s="56"/>
      <c r="J124" s="56"/>
      <c r="K124" s="8"/>
      <c r="L124" s="8"/>
      <c r="M124" s="8"/>
      <c r="N124" s="8"/>
    </row>
    <row r="125" spans="1:14">
      <c r="A125" s="8"/>
      <c r="B125" s="148"/>
      <c r="C125" s="62"/>
      <c r="D125" s="62"/>
      <c r="E125" s="62"/>
      <c r="F125" s="62"/>
      <c r="G125" s="63"/>
      <c r="H125" s="56"/>
      <c r="I125" s="56"/>
      <c r="J125" s="56"/>
      <c r="K125" s="8"/>
      <c r="L125" s="8"/>
      <c r="M125" s="8"/>
      <c r="N125" s="8"/>
    </row>
    <row r="126" spans="1:14" ht="16.5" thickBot="1">
      <c r="A126" s="8"/>
      <c r="B126" s="151" t="s">
        <v>201</v>
      </c>
      <c r="C126" s="177">
        <f>+C117-C124</f>
        <v>-1574.9349999999977</v>
      </c>
      <c r="D126" s="62">
        <f>+D117-D124</f>
        <v>19750.773249999998</v>
      </c>
      <c r="E126" s="62">
        <f>+E117-E124</f>
        <v>50674.801554166683</v>
      </c>
      <c r="F126" s="62">
        <f>+F117-F124</f>
        <v>105410.70812451665</v>
      </c>
      <c r="G126" s="63">
        <f>+G117-G124</f>
        <v>176004.9594211026</v>
      </c>
      <c r="H126" s="56"/>
      <c r="I126" s="56"/>
      <c r="J126" s="56"/>
      <c r="K126" s="8"/>
      <c r="L126" s="8"/>
      <c r="M126" s="8"/>
      <c r="N126" s="8"/>
    </row>
    <row r="127" spans="1:14">
      <c r="A127" s="8"/>
      <c r="B127" s="148"/>
      <c r="C127" s="62"/>
      <c r="D127" s="62"/>
      <c r="E127" s="62"/>
      <c r="F127" s="62"/>
      <c r="G127" s="63"/>
      <c r="H127" s="56"/>
      <c r="I127" s="56"/>
      <c r="J127" s="56"/>
      <c r="K127" s="8"/>
      <c r="L127" s="8"/>
      <c r="M127" s="8"/>
      <c r="N127" s="8"/>
    </row>
    <row r="128" spans="1:14">
      <c r="A128" s="8"/>
      <c r="B128" s="148" t="s">
        <v>202</v>
      </c>
      <c r="C128" s="62"/>
      <c r="D128" s="62">
        <f>+D126*0.15</f>
        <v>2962.6159874999998</v>
      </c>
      <c r="E128" s="62">
        <f>+E126*0.15</f>
        <v>7601.2202331250019</v>
      </c>
      <c r="F128" s="62">
        <f>+F126*0.15</f>
        <v>15811.606218677496</v>
      </c>
      <c r="G128" s="63">
        <f t="shared" ref="G128" si="17">+G126*0.15</f>
        <v>26400.743913165388</v>
      </c>
      <c r="H128" s="56"/>
      <c r="I128" s="56"/>
      <c r="J128" s="56"/>
      <c r="K128" s="8"/>
      <c r="L128" s="8"/>
      <c r="M128" s="8"/>
      <c r="N128" s="8"/>
    </row>
    <row r="129" spans="1:14">
      <c r="A129" s="8"/>
      <c r="B129" s="148" t="s">
        <v>191</v>
      </c>
      <c r="C129" s="62"/>
      <c r="D129" s="62">
        <f>+(D126-D128)*0.23</f>
        <v>3861.2761703749993</v>
      </c>
      <c r="E129" s="62">
        <f t="shared" ref="E129" si="18">+(E126-E128)*0.23</f>
        <v>9906.9237038395877</v>
      </c>
      <c r="F129" s="62">
        <f>+(F126-F128)*0.23</f>
        <v>20607.793438343007</v>
      </c>
      <c r="G129" s="63">
        <f>+(G126-G128)*0.23</f>
        <v>34408.969566825559</v>
      </c>
      <c r="H129" s="56"/>
      <c r="I129" s="56"/>
      <c r="J129" s="56"/>
      <c r="K129" s="8"/>
      <c r="L129" s="8"/>
      <c r="M129" s="8"/>
      <c r="N129" s="8"/>
    </row>
    <row r="130" spans="1:14" ht="16.5" thickBot="1">
      <c r="A130" s="8"/>
      <c r="B130" s="151"/>
      <c r="C130" s="178"/>
      <c r="D130" s="178"/>
      <c r="E130" s="178"/>
      <c r="F130" s="178"/>
      <c r="G130" s="179"/>
      <c r="H130" s="56"/>
      <c r="I130" s="56"/>
      <c r="J130" s="56"/>
      <c r="K130" s="8"/>
      <c r="L130" s="8"/>
      <c r="M130" s="8"/>
      <c r="N130" s="8"/>
    </row>
    <row r="131" spans="1:14" ht="16.5" thickBot="1">
      <c r="A131" s="8"/>
      <c r="B131" s="180" t="s">
        <v>57</v>
      </c>
      <c r="C131" s="181">
        <f>+C126-C128-C129</f>
        <v>-1574.9349999999977</v>
      </c>
      <c r="D131" s="77">
        <f t="shared" ref="D131:E131" si="19">+D126-D128-D129</f>
        <v>12926.881092124997</v>
      </c>
      <c r="E131" s="77">
        <f t="shared" si="19"/>
        <v>33166.657617202094</v>
      </c>
      <c r="F131" s="77">
        <f>+F126-F128-F129</f>
        <v>68991.308467496143</v>
      </c>
      <c r="G131" s="78">
        <f>+G126-G128-G129</f>
        <v>115195.24594111166</v>
      </c>
      <c r="H131" s="56"/>
      <c r="I131" s="56"/>
      <c r="J131" s="56"/>
      <c r="K131" s="8"/>
      <c r="L131" s="8"/>
      <c r="M131" s="8"/>
      <c r="N131" s="8"/>
    </row>
    <row r="132" spans="1:14" ht="16.5" thickBot="1">
      <c r="A132" s="8"/>
      <c r="B132" s="56"/>
      <c r="C132" s="56"/>
      <c r="D132" s="56"/>
      <c r="E132" s="56"/>
      <c r="F132" s="56"/>
      <c r="G132" s="56"/>
      <c r="H132" s="56"/>
      <c r="I132" s="56"/>
      <c r="J132" s="56"/>
      <c r="K132" s="8"/>
      <c r="L132" s="8"/>
      <c r="M132" s="8"/>
      <c r="N132" s="8"/>
    </row>
    <row r="133" spans="1:14" ht="16.5" thickBot="1">
      <c r="A133" s="8"/>
      <c r="B133" s="182" t="s">
        <v>205</v>
      </c>
      <c r="C133" s="183">
        <f>+C131</f>
        <v>-1574.9349999999977</v>
      </c>
      <c r="D133" s="184">
        <f>+D131+C133</f>
        <v>11351.946092124999</v>
      </c>
      <c r="E133" s="184">
        <f t="shared" ref="E133:F133" si="20">+E131+D133</f>
        <v>44518.603709327093</v>
      </c>
      <c r="F133" s="184">
        <f t="shared" si="20"/>
        <v>113509.91217682324</v>
      </c>
      <c r="G133" s="185">
        <f>+G131+F133</f>
        <v>228705.15811793489</v>
      </c>
      <c r="H133" s="56"/>
      <c r="I133" s="56"/>
      <c r="J133" s="56"/>
      <c r="K133" s="8"/>
      <c r="L133" s="8"/>
      <c r="M133" s="8"/>
      <c r="N133" s="8"/>
    </row>
    <row r="134" spans="1:14">
      <c r="A134" s="8"/>
      <c r="B134" s="56"/>
      <c r="C134" s="56"/>
      <c r="D134" s="56"/>
      <c r="E134" s="56"/>
      <c r="F134" s="56"/>
      <c r="G134" s="56"/>
      <c r="H134" s="56"/>
      <c r="I134" s="56"/>
      <c r="J134" s="56"/>
      <c r="K134" s="8"/>
      <c r="L134" s="8"/>
      <c r="M134" s="8"/>
      <c r="N134" s="8"/>
    </row>
    <row r="135" spans="1:14">
      <c r="A135" s="8"/>
      <c r="B135" s="56"/>
      <c r="C135" s="56"/>
      <c r="D135" s="186"/>
      <c r="E135" s="186"/>
      <c r="F135" s="186"/>
      <c r="G135" s="56"/>
      <c r="H135" s="56"/>
      <c r="I135" s="56"/>
      <c r="J135" s="56"/>
      <c r="K135" s="8"/>
      <c r="L135" s="8"/>
      <c r="M135" s="8"/>
      <c r="N135" s="8"/>
    </row>
    <row r="136" spans="1:14" ht="16.5" thickBot="1">
      <c r="A136" s="8"/>
      <c r="B136" s="128" t="s">
        <v>79</v>
      </c>
      <c r="C136" s="128"/>
      <c r="D136" s="56"/>
      <c r="E136" s="56"/>
      <c r="F136" s="56"/>
      <c r="G136" s="56"/>
      <c r="H136" s="56"/>
      <c r="I136" s="56"/>
      <c r="J136" s="56"/>
      <c r="K136" s="8"/>
      <c r="L136" s="8"/>
      <c r="M136" s="8"/>
      <c r="N136" s="8"/>
    </row>
    <row r="137" spans="1:14" ht="16.5" thickBot="1">
      <c r="A137" s="8"/>
      <c r="B137" s="187" t="s">
        <v>24</v>
      </c>
      <c r="C137" s="131"/>
      <c r="D137" s="130" t="s">
        <v>14</v>
      </c>
      <c r="E137" s="130" t="s">
        <v>15</v>
      </c>
      <c r="F137" s="130" t="s">
        <v>16</v>
      </c>
      <c r="G137" s="130" t="s">
        <v>17</v>
      </c>
      <c r="H137" s="131" t="s">
        <v>18</v>
      </c>
      <c r="I137" s="56"/>
      <c r="J137" s="56"/>
      <c r="K137" s="8"/>
      <c r="L137" s="8"/>
      <c r="M137" s="8"/>
      <c r="N137" s="8"/>
    </row>
    <row r="138" spans="1:14">
      <c r="A138" s="8"/>
      <c r="B138" s="188" t="s">
        <v>80</v>
      </c>
      <c r="C138" s="70"/>
      <c r="D138" s="88"/>
      <c r="E138" s="88"/>
      <c r="F138" s="88"/>
      <c r="G138" s="88"/>
      <c r="H138" s="189"/>
      <c r="I138" s="56"/>
      <c r="J138" s="56"/>
      <c r="K138" s="8"/>
      <c r="L138" s="8"/>
      <c r="M138" s="8"/>
      <c r="N138" s="8"/>
    </row>
    <row r="139" spans="1:14">
      <c r="A139" s="8"/>
      <c r="B139" s="60" t="s">
        <v>92</v>
      </c>
      <c r="C139" s="70"/>
      <c r="D139" s="68">
        <f>+C64</f>
        <v>83000</v>
      </c>
      <c r="E139" s="68">
        <f>+D64</f>
        <v>108150</v>
      </c>
      <c r="F139" s="68">
        <f>+E64</f>
        <v>146002.5</v>
      </c>
      <c r="G139" s="68">
        <f>+F64</f>
        <v>201353.66999999998</v>
      </c>
      <c r="H139" s="69">
        <f>+G64</f>
        <v>281281.81935000001</v>
      </c>
      <c r="I139" s="56"/>
      <c r="J139" s="56"/>
      <c r="K139" s="8"/>
      <c r="L139" s="8"/>
      <c r="M139" s="8"/>
      <c r="N139" s="8"/>
    </row>
    <row r="140" spans="1:14">
      <c r="A140" s="8"/>
      <c r="B140" s="60" t="s">
        <v>81</v>
      </c>
      <c r="C140" s="70"/>
      <c r="D140" s="190">
        <f>+'Inversiones, Deprec., Amort'!C30</f>
        <v>4400</v>
      </c>
      <c r="E140" s="88"/>
      <c r="F140" s="88"/>
      <c r="G140" s="88"/>
      <c r="H140" s="189"/>
      <c r="I140" s="56"/>
      <c r="J140" s="56"/>
      <c r="K140" s="8"/>
      <c r="L140" s="8"/>
      <c r="M140" s="8"/>
      <c r="N140" s="8"/>
    </row>
    <row r="141" spans="1:14">
      <c r="A141" s="8"/>
      <c r="B141" s="60" t="s">
        <v>82</v>
      </c>
      <c r="C141" s="70"/>
      <c r="D141" s="164">
        <f>+D139+D140</f>
        <v>87400</v>
      </c>
      <c r="E141" s="164">
        <f>+E139</f>
        <v>108150</v>
      </c>
      <c r="F141" s="164">
        <f t="shared" ref="F141:H141" si="21">+F139</f>
        <v>146002.5</v>
      </c>
      <c r="G141" s="164">
        <f t="shared" si="21"/>
        <v>201353.66999999998</v>
      </c>
      <c r="H141" s="165">
        <f t="shared" si="21"/>
        <v>281281.81935000001</v>
      </c>
      <c r="I141" s="56"/>
      <c r="J141" s="56"/>
      <c r="K141" s="8"/>
      <c r="L141" s="8"/>
      <c r="M141" s="8"/>
      <c r="N141" s="8"/>
    </row>
    <row r="142" spans="1:14">
      <c r="A142" s="8"/>
      <c r="B142" s="60"/>
      <c r="C142" s="70"/>
      <c r="D142" s="88"/>
      <c r="E142" s="88"/>
      <c r="F142" s="88"/>
      <c r="G142" s="88"/>
      <c r="H142" s="189"/>
      <c r="I142" s="56"/>
      <c r="J142" s="56"/>
      <c r="K142" s="8"/>
      <c r="L142" s="8"/>
      <c r="M142" s="8"/>
      <c r="N142" s="8"/>
    </row>
    <row r="143" spans="1:14">
      <c r="A143" s="8"/>
      <c r="B143" s="188" t="s">
        <v>83</v>
      </c>
      <c r="C143" s="70"/>
      <c r="D143" s="88"/>
      <c r="E143" s="88"/>
      <c r="F143" s="88"/>
      <c r="G143" s="88"/>
      <c r="H143" s="189"/>
      <c r="I143" s="56"/>
      <c r="J143" s="56"/>
      <c r="K143" s="8"/>
      <c r="L143" s="8"/>
      <c r="M143" s="8"/>
      <c r="N143" s="8"/>
    </row>
    <row r="144" spans="1:14">
      <c r="A144" s="8"/>
      <c r="B144" s="60" t="s">
        <v>84</v>
      </c>
      <c r="C144" s="70"/>
      <c r="D144" s="191">
        <f>+D92</f>
        <v>39600</v>
      </c>
      <c r="E144" s="191">
        <f>+E92</f>
        <v>41580</v>
      </c>
      <c r="F144" s="191">
        <f>+F92</f>
        <v>43659</v>
      </c>
      <c r="G144" s="191">
        <f>+G92</f>
        <v>45841.95</v>
      </c>
      <c r="H144" s="192">
        <f>+H92</f>
        <v>48134.047500000001</v>
      </c>
      <c r="I144" s="56"/>
      <c r="J144" s="56"/>
      <c r="K144" s="8"/>
      <c r="L144" s="8"/>
      <c r="M144" s="8"/>
      <c r="N144" s="8"/>
    </row>
    <row r="145" spans="1:14">
      <c r="A145" s="8"/>
      <c r="B145" s="60" t="s">
        <v>93</v>
      </c>
      <c r="C145" s="70"/>
      <c r="D145" s="68">
        <f>+C74</f>
        <v>2490</v>
      </c>
      <c r="E145" s="68">
        <f>+D74</f>
        <v>3244.5</v>
      </c>
      <c r="F145" s="68">
        <f>+E74</f>
        <v>4380.0750000000007</v>
      </c>
      <c r="G145" s="68">
        <f>+F74</f>
        <v>6040.6100999999999</v>
      </c>
      <c r="H145" s="69">
        <f>+G74</f>
        <v>8438.4545804999998</v>
      </c>
      <c r="I145" s="56"/>
      <c r="J145" s="56"/>
      <c r="K145" s="8"/>
      <c r="L145" s="8"/>
      <c r="M145" s="8"/>
      <c r="N145" s="8"/>
    </row>
    <row r="146" spans="1:14">
      <c r="A146" s="8"/>
      <c r="B146" s="60" t="s">
        <v>203</v>
      </c>
      <c r="C146" s="70"/>
      <c r="D146" s="191">
        <f>+(D97)+(C76)</f>
        <v>3507.5</v>
      </c>
      <c r="E146" s="191">
        <f>+(E97)+(D76)</f>
        <v>3735.375</v>
      </c>
      <c r="F146" s="191">
        <f>+(F97)+(E76)</f>
        <v>4003.2562499999999</v>
      </c>
      <c r="G146" s="191">
        <f>+(G97)+(F76)</f>
        <v>4323.5466749999996</v>
      </c>
      <c r="H146" s="192">
        <f>+(H97)+(G76)</f>
        <v>4714.3751733750005</v>
      </c>
      <c r="I146" s="56"/>
      <c r="J146" s="56"/>
      <c r="K146" s="8"/>
      <c r="L146" s="8"/>
      <c r="M146" s="8"/>
      <c r="N146" s="8"/>
    </row>
    <row r="147" spans="1:14">
      <c r="A147" s="8"/>
      <c r="B147" s="60" t="s">
        <v>198</v>
      </c>
      <c r="C147" s="70"/>
      <c r="D147" s="191">
        <f>+D100</f>
        <v>1460</v>
      </c>
      <c r="E147" s="191">
        <f>+E100</f>
        <v>1460</v>
      </c>
      <c r="F147" s="191">
        <f>+F100</f>
        <v>1460</v>
      </c>
      <c r="G147" s="191">
        <f>+G100</f>
        <v>1460</v>
      </c>
      <c r="H147" s="192">
        <f>+H100</f>
        <v>1460</v>
      </c>
      <c r="I147" s="56"/>
      <c r="J147" s="56"/>
      <c r="K147" s="8"/>
      <c r="L147" s="8"/>
      <c r="M147" s="8"/>
      <c r="N147" s="8"/>
    </row>
    <row r="148" spans="1:14">
      <c r="A148" s="8"/>
      <c r="B148" s="60" t="s">
        <v>85</v>
      </c>
      <c r="C148" s="70"/>
      <c r="D148" s="68">
        <f>+D99+C78</f>
        <v>5113.9349999999995</v>
      </c>
      <c r="E148" s="68">
        <f>+E99+D78</f>
        <v>5446.1767500000005</v>
      </c>
      <c r="F148" s="68">
        <f>+F99+E78</f>
        <v>5836.7476125000003</v>
      </c>
      <c r="G148" s="68">
        <f>+G99+F78</f>
        <v>6303.7310521499994</v>
      </c>
      <c r="H148" s="69">
        <f>+H99+G78</f>
        <v>6873.5590027807502</v>
      </c>
      <c r="I148" s="56"/>
      <c r="J148" s="56"/>
      <c r="K148" s="8"/>
      <c r="L148" s="8"/>
      <c r="M148" s="8"/>
      <c r="N148" s="8"/>
    </row>
    <row r="149" spans="1:14">
      <c r="A149" s="8"/>
      <c r="B149" s="60" t="s">
        <v>86</v>
      </c>
      <c r="C149" s="70"/>
      <c r="D149" s="191">
        <f>+D98+C77</f>
        <v>3507.5</v>
      </c>
      <c r="E149" s="191">
        <f>+E98+D77</f>
        <v>3735.375</v>
      </c>
      <c r="F149" s="191">
        <f>+F98+E77</f>
        <v>4003.2562499999999</v>
      </c>
      <c r="G149" s="191">
        <f>+G98+F77</f>
        <v>4323.5466749999996</v>
      </c>
      <c r="H149" s="192">
        <f>+H98+G77</f>
        <v>4714.3751733750005</v>
      </c>
      <c r="I149" s="56"/>
      <c r="J149" s="56"/>
      <c r="K149" s="8"/>
      <c r="L149" s="8"/>
      <c r="M149" s="8"/>
      <c r="N149" s="8"/>
    </row>
    <row r="150" spans="1:14">
      <c r="A150" s="8"/>
      <c r="B150" s="60" t="s">
        <v>87</v>
      </c>
      <c r="C150" s="70"/>
      <c r="D150" s="191" t="s">
        <v>179</v>
      </c>
      <c r="E150" s="191" t="str">
        <f>+D150</f>
        <v xml:space="preserve">   </v>
      </c>
      <c r="F150" s="191" t="str">
        <f>+E150</f>
        <v xml:space="preserve">   </v>
      </c>
      <c r="G150" s="191" t="str">
        <f t="shared" ref="G150" si="22">+F150</f>
        <v xml:space="preserve">   </v>
      </c>
      <c r="H150" s="192" t="str">
        <f>+G150</f>
        <v xml:space="preserve">   </v>
      </c>
      <c r="I150" s="56"/>
      <c r="J150" s="56"/>
      <c r="K150" s="8"/>
      <c r="L150" s="8"/>
      <c r="M150" s="8"/>
      <c r="N150" s="8"/>
    </row>
    <row r="151" spans="1:14">
      <c r="A151" s="8"/>
      <c r="B151" s="60" t="s">
        <v>88</v>
      </c>
      <c r="C151" s="70"/>
      <c r="D151" s="191">
        <f>+$C$104</f>
        <v>800</v>
      </c>
      <c r="E151" s="191">
        <f>+$C$104</f>
        <v>800</v>
      </c>
      <c r="F151" s="191">
        <f>+$C$104</f>
        <v>800</v>
      </c>
      <c r="G151" s="191">
        <f>+$C$104</f>
        <v>800</v>
      </c>
      <c r="H151" s="192">
        <f>+$C$104</f>
        <v>800</v>
      </c>
      <c r="I151" s="56"/>
      <c r="J151" s="56"/>
      <c r="K151" s="8"/>
      <c r="L151" s="8"/>
      <c r="M151" s="8"/>
      <c r="N151" s="8"/>
    </row>
    <row r="152" spans="1:14">
      <c r="A152" s="8"/>
      <c r="B152" s="60" t="s">
        <v>89</v>
      </c>
      <c r="C152" s="70"/>
      <c r="D152" s="68">
        <f>+D105</f>
        <v>996</v>
      </c>
      <c r="E152" s="68">
        <f>+E105</f>
        <v>1297.8</v>
      </c>
      <c r="F152" s="68">
        <f>+F105</f>
        <v>1752.03</v>
      </c>
      <c r="G152" s="68">
        <f>+G105</f>
        <v>2416.24404</v>
      </c>
      <c r="H152" s="69">
        <f>+H105</f>
        <v>3375.3818322000002</v>
      </c>
      <c r="I152" s="56"/>
      <c r="J152" s="56"/>
      <c r="K152" s="8"/>
      <c r="L152" s="8"/>
      <c r="M152" s="8"/>
      <c r="N152" s="8"/>
    </row>
    <row r="153" spans="1:14">
      <c r="A153" s="8"/>
      <c r="B153" s="60"/>
      <c r="C153" s="70"/>
      <c r="D153" s="88"/>
      <c r="E153" s="88"/>
      <c r="F153" s="88"/>
      <c r="G153" s="88"/>
      <c r="H153" s="189"/>
      <c r="I153" s="56"/>
      <c r="J153" s="56"/>
      <c r="K153" s="8"/>
      <c r="L153" s="8"/>
      <c r="M153" s="8"/>
      <c r="N153" s="8"/>
    </row>
    <row r="154" spans="1:14">
      <c r="A154" s="8"/>
      <c r="B154" s="60" t="s">
        <v>90</v>
      </c>
      <c r="C154" s="70"/>
      <c r="D154" s="191">
        <f t="shared" ref="D154:H155" si="23">+C128</f>
        <v>0</v>
      </c>
      <c r="E154" s="191">
        <f t="shared" si="23"/>
        <v>2962.6159874999998</v>
      </c>
      <c r="F154" s="191">
        <f t="shared" si="23"/>
        <v>7601.2202331250019</v>
      </c>
      <c r="G154" s="191">
        <f t="shared" si="23"/>
        <v>15811.606218677496</v>
      </c>
      <c r="H154" s="192">
        <f t="shared" si="23"/>
        <v>26400.743913165388</v>
      </c>
      <c r="I154" s="56"/>
      <c r="J154" s="56"/>
      <c r="K154" s="8"/>
      <c r="L154" s="8"/>
      <c r="M154" s="8"/>
      <c r="N154" s="8"/>
    </row>
    <row r="155" spans="1:14">
      <c r="A155" s="8"/>
      <c r="B155" s="60" t="s">
        <v>56</v>
      </c>
      <c r="C155" s="70"/>
      <c r="D155" s="191">
        <f t="shared" si="23"/>
        <v>0</v>
      </c>
      <c r="E155" s="191">
        <f>+D129</f>
        <v>3861.2761703749993</v>
      </c>
      <c r="F155" s="191">
        <f t="shared" si="23"/>
        <v>9906.9237038395877</v>
      </c>
      <c r="G155" s="191">
        <f t="shared" si="23"/>
        <v>20607.793438343007</v>
      </c>
      <c r="H155" s="192">
        <f t="shared" si="23"/>
        <v>34408.969566825559</v>
      </c>
      <c r="I155" s="56"/>
      <c r="J155" s="56"/>
      <c r="K155" s="8"/>
      <c r="L155" s="8"/>
      <c r="M155" s="8"/>
      <c r="N155" s="8"/>
    </row>
    <row r="156" spans="1:14">
      <c r="A156" s="8"/>
      <c r="B156" s="60"/>
      <c r="C156" s="70"/>
      <c r="D156" s="88"/>
      <c r="E156" s="88"/>
      <c r="F156" s="88"/>
      <c r="G156" s="88"/>
      <c r="H156" s="189"/>
      <c r="I156" s="56"/>
      <c r="J156" s="56"/>
      <c r="K156" s="8"/>
      <c r="L156" s="8"/>
      <c r="M156" s="8"/>
      <c r="N156" s="8"/>
    </row>
    <row r="157" spans="1:14">
      <c r="A157" s="8"/>
      <c r="B157" s="60" t="s">
        <v>91</v>
      </c>
      <c r="C157" s="70"/>
      <c r="D157" s="65">
        <f>SUM(D144:D156)</f>
        <v>57474.934999999998</v>
      </c>
      <c r="E157" s="65">
        <f t="shared" ref="E157" si="24">SUM(E144:E156)</f>
        <v>68123.118907875003</v>
      </c>
      <c r="F157" s="65">
        <f>SUM(F144:F156)</f>
        <v>83402.509049464599</v>
      </c>
      <c r="G157" s="65">
        <f>SUM(G144:G156)</f>
        <v>107929.0281991705</v>
      </c>
      <c r="H157" s="66">
        <f>SUM(H144:H156)</f>
        <v>139319.90674222168</v>
      </c>
      <c r="I157" s="56"/>
      <c r="J157" s="56"/>
      <c r="K157" s="8"/>
      <c r="L157" s="8"/>
      <c r="M157" s="8"/>
      <c r="N157" s="8"/>
    </row>
    <row r="158" spans="1:14" ht="16.5" thickBot="1">
      <c r="A158" s="8"/>
      <c r="B158" s="71"/>
      <c r="C158" s="72"/>
      <c r="D158" s="73"/>
      <c r="E158" s="73"/>
      <c r="F158" s="73"/>
      <c r="G158" s="73"/>
      <c r="H158" s="74"/>
      <c r="I158" s="56"/>
      <c r="J158" s="56"/>
      <c r="K158" s="8"/>
      <c r="L158" s="8"/>
      <c r="M158" s="8"/>
      <c r="N158" s="8"/>
    </row>
    <row r="159" spans="1:14">
      <c r="A159" s="8"/>
      <c r="B159" s="60" t="s">
        <v>147</v>
      </c>
      <c r="C159" s="193">
        <f>-C11-F9</f>
        <v>-47400</v>
      </c>
      <c r="D159" s="194">
        <f>+D141-D157</f>
        <v>29925.065000000002</v>
      </c>
      <c r="E159" s="194">
        <f>+E141-E157</f>
        <v>40026.881092124997</v>
      </c>
      <c r="F159" s="194">
        <f>+F141-F157</f>
        <v>62599.990950535401</v>
      </c>
      <c r="G159" s="194">
        <f>+G141-G157</f>
        <v>93424.641800829486</v>
      </c>
      <c r="H159" s="195">
        <f>+H141-H157</f>
        <v>141961.91260777833</v>
      </c>
      <c r="I159" s="56"/>
      <c r="J159" s="56"/>
      <c r="K159" s="8"/>
      <c r="L159" s="8"/>
      <c r="M159" s="8"/>
      <c r="N159" s="8"/>
    </row>
    <row r="160" spans="1:14" ht="16.5" thickBot="1">
      <c r="A160" s="8"/>
      <c r="B160" s="75" t="s">
        <v>148</v>
      </c>
      <c r="C160" s="76"/>
      <c r="D160" s="77">
        <f>+D159</f>
        <v>29925.065000000002</v>
      </c>
      <c r="E160" s="77">
        <f>+E159+D160</f>
        <v>69951.946092124999</v>
      </c>
      <c r="F160" s="77">
        <f>+F159+E160</f>
        <v>132551.9370426604</v>
      </c>
      <c r="G160" s="77">
        <f t="shared" ref="G160" si="25">+G159+F160</f>
        <v>225976.57884348987</v>
      </c>
      <c r="H160" s="78">
        <f>+H159+G160</f>
        <v>367938.4914512682</v>
      </c>
      <c r="I160" s="56"/>
      <c r="J160" s="56"/>
      <c r="K160" s="8"/>
      <c r="L160" s="8"/>
      <c r="M160" s="8"/>
      <c r="N160" s="8"/>
    </row>
    <row r="161" spans="1:14">
      <c r="A161" s="8"/>
      <c r="B161" s="56"/>
      <c r="C161" s="56"/>
      <c r="D161" s="56"/>
      <c r="E161" s="56"/>
      <c r="F161" s="56"/>
      <c r="G161" s="56"/>
      <c r="H161" s="56"/>
      <c r="I161" s="56"/>
      <c r="J161" s="56"/>
      <c r="K161" s="8"/>
      <c r="L161" s="8"/>
      <c r="M161" s="8"/>
      <c r="N161" s="8"/>
    </row>
    <row r="162" spans="1:14">
      <c r="A162" s="8"/>
      <c r="B162" s="56"/>
      <c r="C162" s="56"/>
      <c r="D162" s="56"/>
      <c r="E162" s="56"/>
      <c r="F162" s="196"/>
      <c r="G162" s="196"/>
      <c r="H162" s="56"/>
      <c r="I162" s="56"/>
      <c r="J162" s="56"/>
      <c r="K162" s="8"/>
      <c r="L162" s="8"/>
      <c r="M162" s="8"/>
      <c r="N162" s="8"/>
    </row>
    <row r="163" spans="1:14">
      <c r="A163" s="8"/>
      <c r="B163" s="56"/>
      <c r="C163" s="196"/>
      <c r="D163" s="56"/>
      <c r="E163" s="56"/>
      <c r="F163" s="196"/>
      <c r="G163" s="196"/>
      <c r="H163" s="56"/>
      <c r="I163" s="56"/>
      <c r="J163" s="56"/>
      <c r="K163" s="8"/>
      <c r="L163" s="8"/>
      <c r="M163" s="8"/>
      <c r="N163" s="8"/>
    </row>
    <row r="164" spans="1:14">
      <c r="A164" s="8"/>
      <c r="B164" s="56"/>
      <c r="C164" s="56"/>
      <c r="D164" s="56"/>
      <c r="E164" s="56"/>
      <c r="F164" s="196">
        <f>+E160-D160</f>
        <v>40026.881092124997</v>
      </c>
      <c r="G164" s="56"/>
      <c r="H164" s="56"/>
      <c r="I164" s="56"/>
      <c r="J164" s="56"/>
      <c r="K164" s="8"/>
      <c r="L164" s="8"/>
      <c r="M164" s="8"/>
      <c r="N164" s="8"/>
    </row>
    <row r="165" spans="1:14">
      <c r="A165" s="8"/>
      <c r="B165" s="56"/>
      <c r="C165" s="56"/>
      <c r="D165" s="56"/>
      <c r="E165" s="56"/>
      <c r="F165" s="56"/>
      <c r="G165" s="56"/>
      <c r="H165" s="56"/>
      <c r="I165" s="56"/>
      <c r="J165" s="56"/>
      <c r="K165" s="8"/>
      <c r="L165" s="8"/>
      <c r="M165" s="8"/>
      <c r="N165" s="8"/>
    </row>
    <row r="166" spans="1:14">
      <c r="B166" s="56"/>
      <c r="C166" s="56"/>
      <c r="D166" s="56"/>
      <c r="E166" s="56"/>
      <c r="F166" s="56"/>
      <c r="G166" s="56"/>
      <c r="H166" s="56"/>
      <c r="I166" s="196"/>
      <c r="J166" s="56"/>
      <c r="K166" s="8"/>
      <c r="L166" s="8"/>
      <c r="M166" s="8"/>
      <c r="N166" s="8"/>
    </row>
    <row r="167" spans="1:14" ht="16.5" thickBot="1">
      <c r="A167" s="8"/>
      <c r="B167" s="55" t="s">
        <v>135</v>
      </c>
      <c r="C167" s="56"/>
      <c r="D167" s="56"/>
      <c r="E167" s="56"/>
      <c r="F167" s="56"/>
      <c r="G167" s="56"/>
      <c r="H167" s="56"/>
      <c r="I167" s="196"/>
      <c r="J167" s="56"/>
      <c r="K167" s="8"/>
      <c r="L167" s="8"/>
      <c r="M167" s="8"/>
      <c r="N167" s="8"/>
    </row>
    <row r="168" spans="1:14" ht="16.5" thickBot="1">
      <c r="A168" s="8"/>
      <c r="B168" s="197"/>
      <c r="C168" s="198" t="s">
        <v>173</v>
      </c>
      <c r="D168" s="198" t="s">
        <v>14</v>
      </c>
      <c r="E168" s="198" t="s">
        <v>15</v>
      </c>
      <c r="F168" s="198" t="s">
        <v>16</v>
      </c>
      <c r="G168" s="198" t="s">
        <v>183</v>
      </c>
      <c r="H168" s="199" t="s">
        <v>18</v>
      </c>
      <c r="I168" s="56"/>
      <c r="J168" s="56"/>
      <c r="K168" s="8"/>
      <c r="L168" s="8"/>
      <c r="M168" s="8"/>
      <c r="N168" s="8"/>
    </row>
    <row r="169" spans="1:14">
      <c r="A169" s="8"/>
      <c r="B169" s="200" t="s">
        <v>112</v>
      </c>
      <c r="C169" s="201"/>
      <c r="D169" s="190"/>
      <c r="E169" s="190"/>
      <c r="F169" s="190"/>
      <c r="G169" s="190"/>
      <c r="H169" s="189"/>
      <c r="I169" s="56"/>
      <c r="J169" s="56"/>
      <c r="K169" s="8"/>
      <c r="L169" s="8"/>
      <c r="M169" s="8"/>
      <c r="N169" s="8"/>
    </row>
    <row r="170" spans="1:14">
      <c r="A170" s="8"/>
      <c r="B170" s="200"/>
      <c r="C170" s="201"/>
      <c r="D170" s="190"/>
      <c r="E170" s="190"/>
      <c r="F170" s="190"/>
      <c r="G170" s="190"/>
      <c r="H170" s="189"/>
      <c r="I170" s="56"/>
      <c r="J170" s="56"/>
      <c r="K170" s="8"/>
      <c r="L170" s="8"/>
      <c r="M170" s="8"/>
      <c r="N170" s="8"/>
    </row>
    <row r="171" spans="1:14">
      <c r="A171" s="8"/>
      <c r="B171" s="202" t="s">
        <v>136</v>
      </c>
      <c r="C171" s="201"/>
      <c r="D171" s="190"/>
      <c r="E171" s="190"/>
      <c r="F171" s="190"/>
      <c r="G171" s="190"/>
      <c r="H171" s="203"/>
      <c r="I171" s="56"/>
      <c r="J171" s="56"/>
      <c r="K171" s="8"/>
      <c r="L171" s="8"/>
      <c r="M171" s="8"/>
      <c r="N171" s="8"/>
    </row>
    <row r="172" spans="1:14">
      <c r="A172" s="8"/>
      <c r="B172" s="200" t="s">
        <v>113</v>
      </c>
      <c r="C172" s="204">
        <f t="shared" ref="C172:H172" si="26">+C222</f>
        <v>4400</v>
      </c>
      <c r="D172" s="205">
        <f t="shared" si="26"/>
        <v>13125.065000000002</v>
      </c>
      <c r="E172" s="205">
        <f t="shared" si="26"/>
        <v>36351.946092124999</v>
      </c>
      <c r="F172" s="205">
        <f t="shared" si="26"/>
        <v>69151.937042660415</v>
      </c>
      <c r="G172" s="205">
        <f t="shared" si="26"/>
        <v>147776.5788434899</v>
      </c>
      <c r="H172" s="206">
        <f t="shared" si="26"/>
        <v>261938.49145126826</v>
      </c>
      <c r="I172" s="56"/>
      <c r="J172" s="56"/>
      <c r="K172" s="8"/>
      <c r="L172" s="8"/>
      <c r="M172" s="8"/>
      <c r="N172" s="8"/>
    </row>
    <row r="173" spans="1:14">
      <c r="A173" s="8"/>
      <c r="B173" s="200" t="s">
        <v>134</v>
      </c>
      <c r="C173" s="204"/>
      <c r="D173" s="205">
        <v>0</v>
      </c>
      <c r="E173" s="205">
        <v>0</v>
      </c>
      <c r="F173" s="205">
        <v>0</v>
      </c>
      <c r="G173" s="205">
        <v>0</v>
      </c>
      <c r="H173" s="207"/>
      <c r="I173" s="56"/>
      <c r="J173" s="56"/>
      <c r="K173" s="8"/>
      <c r="L173" s="8"/>
      <c r="M173" s="8"/>
      <c r="N173" s="8"/>
    </row>
    <row r="174" spans="1:14">
      <c r="A174" s="8"/>
      <c r="B174" s="200" t="s">
        <v>137</v>
      </c>
      <c r="C174" s="204">
        <f>+C172-C173</f>
        <v>4400</v>
      </c>
      <c r="D174" s="205">
        <f>+D172+D173</f>
        <v>13125.065000000002</v>
      </c>
      <c r="E174" s="205">
        <f>+E172+E173</f>
        <v>36351.946092124999</v>
      </c>
      <c r="F174" s="205">
        <f>+F172+F173</f>
        <v>69151.937042660415</v>
      </c>
      <c r="G174" s="205">
        <f>+G172+G173</f>
        <v>147776.5788434899</v>
      </c>
      <c r="H174" s="206">
        <f>+H172+H173</f>
        <v>261938.49145126826</v>
      </c>
      <c r="I174" s="56"/>
      <c r="J174" s="56"/>
      <c r="K174" s="8"/>
      <c r="L174" s="8"/>
      <c r="M174" s="8"/>
      <c r="N174" s="8"/>
    </row>
    <row r="175" spans="1:14">
      <c r="A175" s="8"/>
      <c r="B175" s="200"/>
      <c r="C175" s="204"/>
      <c r="D175" s="205"/>
      <c r="E175" s="205"/>
      <c r="F175" s="205"/>
      <c r="G175" s="205"/>
      <c r="H175" s="207"/>
      <c r="I175" s="56"/>
      <c r="J175" s="56"/>
      <c r="K175" s="8"/>
      <c r="L175" s="8"/>
      <c r="M175" s="8"/>
      <c r="N175" s="8"/>
    </row>
    <row r="176" spans="1:14">
      <c r="A176" s="8"/>
      <c r="B176" s="202" t="s">
        <v>142</v>
      </c>
      <c r="C176" s="204">
        <f>+C178+C177</f>
        <v>18000</v>
      </c>
      <c r="D176" s="205">
        <f>+'Inversiones, Deprec., Amort'!I27+'Inversiones, Deprec., Amort'!I29</f>
        <v>18000</v>
      </c>
      <c r="E176" s="205">
        <f>+'Inversiones, Deprec., Amort'!J27+'Inversiones, Deprec., Amort'!J29</f>
        <v>18000</v>
      </c>
      <c r="F176" s="205">
        <f>+'Inversiones, Deprec., Amort'!K27+'Inversiones, Deprec., Amort'!K29</f>
        <v>28000</v>
      </c>
      <c r="G176" s="205">
        <f>+'Inversiones, Deprec., Amort'!L27+'Inversiones, Deprec., Amort'!L29</f>
        <v>28000</v>
      </c>
      <c r="H176" s="206">
        <f>+'Inversiones, Deprec., Amort'!M27+'Inversiones, Deprec., Amort'!M29</f>
        <v>38000</v>
      </c>
      <c r="I176" s="56"/>
      <c r="J176" s="56"/>
      <c r="K176" s="8"/>
      <c r="L176" s="8"/>
      <c r="M176" s="8"/>
      <c r="N176" s="8"/>
    </row>
    <row r="177" spans="1:14">
      <c r="A177" s="8"/>
      <c r="B177" s="200" t="s">
        <v>114</v>
      </c>
      <c r="C177" s="204">
        <v>3000</v>
      </c>
      <c r="D177" s="205">
        <v>3000</v>
      </c>
      <c r="E177" s="205">
        <v>3000</v>
      </c>
      <c r="F177" s="205">
        <v>3000</v>
      </c>
      <c r="G177" s="205">
        <v>3000</v>
      </c>
      <c r="H177" s="206">
        <v>3000</v>
      </c>
      <c r="I177" s="56"/>
      <c r="J177" s="56"/>
      <c r="K177" s="8"/>
      <c r="L177" s="8"/>
      <c r="M177" s="8"/>
      <c r="N177" s="8"/>
    </row>
    <row r="178" spans="1:14">
      <c r="A178" s="8"/>
      <c r="B178" s="200" t="s">
        <v>115</v>
      </c>
      <c r="C178" s="204">
        <v>15000</v>
      </c>
      <c r="D178" s="205">
        <v>15000</v>
      </c>
      <c r="E178" s="205">
        <v>15000</v>
      </c>
      <c r="F178" s="205">
        <v>25000</v>
      </c>
      <c r="G178" s="205">
        <v>25000</v>
      </c>
      <c r="H178" s="206">
        <v>35000</v>
      </c>
      <c r="I178" s="56"/>
      <c r="J178" s="56"/>
      <c r="K178" s="8"/>
      <c r="L178" s="8"/>
      <c r="M178" s="8"/>
      <c r="N178" s="8"/>
    </row>
    <row r="179" spans="1:14">
      <c r="A179" s="8"/>
      <c r="B179" s="200"/>
      <c r="C179" s="204"/>
      <c r="D179" s="205"/>
      <c r="E179" s="205"/>
      <c r="F179" s="205"/>
      <c r="G179" s="205"/>
      <c r="H179" s="206"/>
      <c r="I179" s="56"/>
      <c r="J179" s="56"/>
      <c r="K179" s="8"/>
      <c r="L179" s="8"/>
      <c r="M179" s="8"/>
      <c r="N179" s="8"/>
    </row>
    <row r="180" spans="1:14">
      <c r="A180" s="8"/>
      <c r="B180" s="200" t="s">
        <v>139</v>
      </c>
      <c r="C180" s="204"/>
      <c r="D180" s="208">
        <f>+D182+D181</f>
        <v>-5300</v>
      </c>
      <c r="E180" s="208">
        <f t="shared" ref="E180" si="27">+E182+E181</f>
        <v>-10600</v>
      </c>
      <c r="F180" s="208">
        <f>+F182+F181</f>
        <v>-19233.333333333336</v>
      </c>
      <c r="G180" s="208">
        <f>+G182+G181</f>
        <v>-22866.666666666668</v>
      </c>
      <c r="H180" s="209">
        <f>+H182+H181</f>
        <v>-29833.333333333336</v>
      </c>
      <c r="I180" s="56"/>
      <c r="J180" s="56"/>
      <c r="K180" s="8"/>
      <c r="L180" s="8"/>
      <c r="M180" s="8"/>
      <c r="N180" s="8"/>
    </row>
    <row r="181" spans="1:14">
      <c r="A181" s="8"/>
      <c r="B181" s="200" t="s">
        <v>114</v>
      </c>
      <c r="C181" s="204"/>
      <c r="D181" s="208">
        <f>-+'Inversiones, Deprec., Amort'!I30</f>
        <v>-300</v>
      </c>
      <c r="E181" s="208">
        <f>-+'Inversiones, Deprec., Amort'!J30+D181</f>
        <v>-600</v>
      </c>
      <c r="F181" s="208">
        <f>-+'Inversiones, Deprec., Amort'!K30+E181</f>
        <v>-900</v>
      </c>
      <c r="G181" s="208">
        <f>-+'Inversiones, Deprec., Amort'!L30+F181</f>
        <v>-1200</v>
      </c>
      <c r="H181" s="209">
        <f>-+'Inversiones, Deprec., Amort'!M30+G181</f>
        <v>-1500</v>
      </c>
      <c r="I181" s="56"/>
      <c r="J181" s="56"/>
      <c r="K181" s="8"/>
      <c r="L181" s="8"/>
      <c r="M181" s="8"/>
      <c r="N181" s="8"/>
    </row>
    <row r="182" spans="1:14">
      <c r="A182" s="8"/>
      <c r="B182" s="200" t="s">
        <v>115</v>
      </c>
      <c r="C182" s="204"/>
      <c r="D182" s="208">
        <f>-+'Inversiones, Deprec., Amort'!I28</f>
        <v>-5000</v>
      </c>
      <c r="E182" s="208">
        <f>-+'Inversiones, Deprec., Amort'!J28+D182</f>
        <v>-10000</v>
      </c>
      <c r="F182" s="208">
        <f>-+'Inversiones, Deprec., Amort'!K28+E182</f>
        <v>-18333.333333333336</v>
      </c>
      <c r="G182" s="208">
        <f>-+'Inversiones, Deprec., Amort'!L28+F182</f>
        <v>-21666.666666666668</v>
      </c>
      <c r="H182" s="209">
        <f>-+'Inversiones, Deprec., Amort'!M28+G182</f>
        <v>-28333.333333333336</v>
      </c>
      <c r="I182" s="56"/>
      <c r="J182" s="56"/>
      <c r="K182" s="8"/>
      <c r="L182" s="8"/>
      <c r="M182" s="8"/>
      <c r="N182" s="8"/>
    </row>
    <row r="183" spans="1:14">
      <c r="A183" s="8"/>
      <c r="B183" s="200" t="s">
        <v>145</v>
      </c>
      <c r="C183" s="204">
        <f>+C176</f>
        <v>18000</v>
      </c>
      <c r="D183" s="205">
        <f>+D176+D180</f>
        <v>12700</v>
      </c>
      <c r="E183" s="205">
        <f t="shared" ref="E183:G183" si="28">+E176+E180</f>
        <v>7400</v>
      </c>
      <c r="F183" s="205">
        <f t="shared" si="28"/>
        <v>8766.6666666666642</v>
      </c>
      <c r="G183" s="205">
        <f t="shared" si="28"/>
        <v>5133.3333333333321</v>
      </c>
      <c r="H183" s="206">
        <f>+H176+H180</f>
        <v>8166.6666666666642</v>
      </c>
      <c r="I183" s="56"/>
      <c r="J183" s="56"/>
      <c r="K183" s="8"/>
      <c r="L183" s="8"/>
      <c r="M183" s="8"/>
      <c r="N183" s="8"/>
    </row>
    <row r="184" spans="1:14">
      <c r="A184" s="8"/>
      <c r="B184" s="200"/>
      <c r="C184" s="204"/>
      <c r="D184" s="205"/>
      <c r="E184" s="205"/>
      <c r="F184" s="205"/>
      <c r="G184" s="205"/>
      <c r="H184" s="206"/>
      <c r="I184" s="56"/>
      <c r="J184" s="56"/>
      <c r="K184" s="8"/>
      <c r="L184" s="8"/>
      <c r="M184" s="8"/>
      <c r="N184" s="8"/>
    </row>
    <row r="185" spans="1:14">
      <c r="A185" s="8"/>
      <c r="B185" s="200" t="s">
        <v>143</v>
      </c>
      <c r="C185" s="204">
        <v>25000</v>
      </c>
      <c r="D185" s="205">
        <v>25000</v>
      </c>
      <c r="E185" s="205">
        <v>25000</v>
      </c>
      <c r="F185" s="205">
        <v>30000</v>
      </c>
      <c r="G185" s="205">
        <v>30000</v>
      </c>
      <c r="H185" s="206">
        <v>35000</v>
      </c>
      <c r="I185" s="56"/>
      <c r="J185" s="56"/>
      <c r="K185" s="8"/>
      <c r="L185" s="8"/>
      <c r="M185" s="8"/>
      <c r="N185" s="8"/>
    </row>
    <row r="186" spans="1:14">
      <c r="A186" s="8"/>
      <c r="B186" s="200" t="s">
        <v>138</v>
      </c>
      <c r="C186" s="204"/>
      <c r="D186" s="208">
        <f>-D185/5</f>
        <v>-5000</v>
      </c>
      <c r="E186" s="208">
        <f>-E185/5+D186</f>
        <v>-10000</v>
      </c>
      <c r="F186" s="208">
        <f>-F185/5+E186</f>
        <v>-16000</v>
      </c>
      <c r="G186" s="208">
        <f>-G185/5+F186</f>
        <v>-22000</v>
      </c>
      <c r="H186" s="209">
        <f>-H185/5+G186</f>
        <v>-29000</v>
      </c>
      <c r="I186" s="56"/>
      <c r="J186" s="56"/>
      <c r="K186" s="8"/>
      <c r="L186" s="8"/>
      <c r="M186" s="8"/>
      <c r="N186" s="8"/>
    </row>
    <row r="187" spans="1:14">
      <c r="A187" s="8"/>
      <c r="B187" s="200" t="s">
        <v>144</v>
      </c>
      <c r="C187" s="204">
        <f>(+C185+C186)</f>
        <v>25000</v>
      </c>
      <c r="D187" s="205">
        <f>(+D185+D186)</f>
        <v>20000</v>
      </c>
      <c r="E187" s="205">
        <f t="shared" ref="E187:H187" si="29">(+E185+E186)</f>
        <v>15000</v>
      </c>
      <c r="F187" s="205">
        <f t="shared" si="29"/>
        <v>14000</v>
      </c>
      <c r="G187" s="205">
        <f t="shared" si="29"/>
        <v>8000</v>
      </c>
      <c r="H187" s="206">
        <f t="shared" si="29"/>
        <v>6000</v>
      </c>
      <c r="I187" s="56"/>
      <c r="J187" s="56"/>
      <c r="K187" s="8"/>
      <c r="L187" s="8"/>
      <c r="M187" s="8"/>
      <c r="N187" s="8"/>
    </row>
    <row r="188" spans="1:14">
      <c r="A188" s="8"/>
      <c r="B188" s="200"/>
      <c r="C188" s="204"/>
      <c r="D188" s="205"/>
      <c r="E188" s="205"/>
      <c r="F188" s="205"/>
      <c r="G188" s="205"/>
      <c r="H188" s="206"/>
      <c r="I188" s="56"/>
      <c r="J188" s="56"/>
      <c r="K188" s="8"/>
      <c r="L188" s="8"/>
      <c r="M188" s="8"/>
      <c r="N188" s="8"/>
    </row>
    <row r="189" spans="1:14">
      <c r="A189" s="8"/>
      <c r="B189" s="202" t="s">
        <v>121</v>
      </c>
      <c r="C189" s="204">
        <f>+C174+C183+C187</f>
        <v>47400</v>
      </c>
      <c r="D189" s="205">
        <f>+D174+D183+D187</f>
        <v>45825.065000000002</v>
      </c>
      <c r="E189" s="205">
        <f>+E174+E183+E187</f>
        <v>58751.946092124999</v>
      </c>
      <c r="F189" s="205">
        <f>+F174+F183+F187</f>
        <v>91918.603709327086</v>
      </c>
      <c r="G189" s="205">
        <f t="shared" ref="G189" si="30">+G174+G183+G187</f>
        <v>160909.91217682324</v>
      </c>
      <c r="H189" s="206">
        <f t="shared" ref="H189" si="31">+H174+H183+H187</f>
        <v>276105.15811793495</v>
      </c>
      <c r="I189" s="56"/>
      <c r="J189" s="56"/>
      <c r="K189" s="8"/>
      <c r="L189" s="8"/>
      <c r="M189" s="8"/>
      <c r="N189" s="8"/>
    </row>
    <row r="190" spans="1:14">
      <c r="A190" s="8"/>
      <c r="B190" s="200"/>
      <c r="C190" s="204"/>
      <c r="D190" s="205"/>
      <c r="E190" s="205"/>
      <c r="F190" s="205"/>
      <c r="G190" s="205"/>
      <c r="H190" s="206"/>
      <c r="I190" s="56"/>
      <c r="J190" s="56"/>
      <c r="K190" s="8"/>
      <c r="L190" s="8"/>
      <c r="M190" s="8"/>
      <c r="N190" s="8"/>
    </row>
    <row r="191" spans="1:14" ht="16.5" thickBot="1">
      <c r="A191" s="8"/>
      <c r="B191" s="210" t="s">
        <v>116</v>
      </c>
      <c r="C191" s="211"/>
      <c r="D191" s="212"/>
      <c r="E191" s="212"/>
      <c r="F191" s="212"/>
      <c r="G191" s="212"/>
      <c r="H191" s="213"/>
      <c r="I191" s="56"/>
      <c r="J191" s="56"/>
      <c r="K191" s="8"/>
      <c r="L191" s="8"/>
      <c r="M191" s="8"/>
      <c r="N191" s="8"/>
    </row>
    <row r="192" spans="1:14">
      <c r="A192" s="8"/>
      <c r="B192" s="214"/>
      <c r="C192" s="215"/>
      <c r="D192" s="216"/>
      <c r="E192" s="216"/>
      <c r="F192" s="216"/>
      <c r="G192" s="205"/>
      <c r="H192" s="217"/>
      <c r="I192" s="56"/>
      <c r="J192" s="56"/>
      <c r="K192" s="8"/>
      <c r="L192" s="8"/>
      <c r="M192" s="8"/>
      <c r="N192" s="8"/>
    </row>
    <row r="193" spans="1:14">
      <c r="A193" s="8"/>
      <c r="B193" s="202" t="s">
        <v>141</v>
      </c>
      <c r="C193" s="204"/>
      <c r="D193" s="205"/>
      <c r="E193" s="205"/>
      <c r="F193" s="205"/>
      <c r="G193" s="205"/>
      <c r="H193" s="206"/>
      <c r="I193" s="56"/>
      <c r="J193" s="56"/>
      <c r="K193" s="8"/>
      <c r="L193" s="8"/>
      <c r="M193" s="8"/>
      <c r="N193" s="8"/>
    </row>
    <row r="194" spans="1:14">
      <c r="A194" s="8"/>
      <c r="B194" s="200" t="s">
        <v>117</v>
      </c>
      <c r="C194" s="204"/>
      <c r="D194" s="205"/>
      <c r="E194" s="205"/>
      <c r="F194" s="205"/>
      <c r="G194" s="205"/>
      <c r="H194" s="206"/>
      <c r="I194" s="56"/>
      <c r="J194" s="143"/>
      <c r="K194" s="8"/>
      <c r="L194" s="8"/>
      <c r="M194" s="8"/>
      <c r="N194" s="8"/>
    </row>
    <row r="195" spans="1:14">
      <c r="A195" s="8"/>
      <c r="B195" s="200" t="s">
        <v>118</v>
      </c>
      <c r="C195" s="204"/>
      <c r="D195" s="205"/>
      <c r="E195" s="205"/>
      <c r="F195" s="205"/>
      <c r="G195" s="205"/>
      <c r="H195" s="206"/>
      <c r="I195" s="56"/>
      <c r="J195" s="56"/>
      <c r="K195" s="8"/>
      <c r="L195" s="8"/>
      <c r="M195" s="8"/>
      <c r="N195" s="8"/>
    </row>
    <row r="196" spans="1:14">
      <c r="A196" s="8"/>
      <c r="B196" s="200" t="s">
        <v>119</v>
      </c>
      <c r="C196" s="204"/>
      <c r="D196" s="205"/>
      <c r="E196" s="205"/>
      <c r="F196" s="205"/>
      <c r="G196" s="205"/>
      <c r="H196" s="206"/>
      <c r="I196" s="56"/>
      <c r="J196" s="56"/>
      <c r="K196" s="8"/>
      <c r="L196" s="8"/>
      <c r="M196" s="8"/>
      <c r="N196" s="8"/>
    </row>
    <row r="197" spans="1:14">
      <c r="A197" s="8"/>
      <c r="B197" s="200"/>
      <c r="C197" s="204"/>
      <c r="D197" s="205"/>
      <c r="E197" s="205"/>
      <c r="F197" s="205"/>
      <c r="G197" s="205"/>
      <c r="H197" s="206"/>
      <c r="I197" s="56"/>
      <c r="J197" s="56"/>
      <c r="K197" s="8"/>
      <c r="L197" s="8"/>
      <c r="M197" s="8"/>
      <c r="N197" s="8"/>
    </row>
    <row r="198" spans="1:14">
      <c r="A198" s="8"/>
      <c r="B198" s="202" t="s">
        <v>96</v>
      </c>
      <c r="C198" s="204"/>
      <c r="D198" s="205"/>
      <c r="E198" s="205"/>
      <c r="F198" s="205"/>
      <c r="G198" s="205"/>
      <c r="H198" s="206"/>
      <c r="I198" s="56"/>
      <c r="J198" s="56"/>
      <c r="K198" s="8"/>
      <c r="L198" s="8"/>
      <c r="M198" s="8"/>
      <c r="N198" s="8"/>
    </row>
    <row r="199" spans="1:14">
      <c r="A199" s="8"/>
      <c r="B199" s="200" t="s">
        <v>120</v>
      </c>
      <c r="C199" s="204">
        <f>+C11+G9</f>
        <v>47400</v>
      </c>
      <c r="D199" s="205">
        <f>+C199</f>
        <v>47400</v>
      </c>
      <c r="E199" s="205">
        <f>+D199</f>
        <v>47400</v>
      </c>
      <c r="F199" s="205">
        <f>+E199</f>
        <v>47400</v>
      </c>
      <c r="G199" s="205">
        <f>+F199</f>
        <v>47400</v>
      </c>
      <c r="H199" s="206">
        <f>+G199</f>
        <v>47400</v>
      </c>
      <c r="I199" s="56"/>
      <c r="J199" s="56"/>
      <c r="K199" s="8"/>
      <c r="L199" s="8"/>
      <c r="M199" s="8"/>
      <c r="N199" s="8"/>
    </row>
    <row r="200" spans="1:14" ht="16.5" thickBot="1">
      <c r="A200" s="8"/>
      <c r="B200" s="210" t="s">
        <v>192</v>
      </c>
      <c r="C200" s="211">
        <v>0</v>
      </c>
      <c r="D200" s="218">
        <f>+C133</f>
        <v>-1574.9349999999977</v>
      </c>
      <c r="E200" s="212">
        <f>+D133</f>
        <v>11351.946092124999</v>
      </c>
      <c r="F200" s="212">
        <f>+E133</f>
        <v>44518.603709327093</v>
      </c>
      <c r="G200" s="212">
        <f>+F133</f>
        <v>113509.91217682324</v>
      </c>
      <c r="H200" s="213">
        <f>+G133</f>
        <v>228705.15811793489</v>
      </c>
      <c r="I200" s="56"/>
      <c r="J200" s="56"/>
      <c r="K200" s="8"/>
      <c r="L200" s="8"/>
      <c r="M200" s="8"/>
      <c r="N200" s="8"/>
    </row>
    <row r="201" spans="1:14">
      <c r="A201" s="8"/>
      <c r="B201" s="200"/>
      <c r="C201" s="204">
        <f>+C199-C200</f>
        <v>47400</v>
      </c>
      <c r="D201" s="205">
        <f>+D199+D200</f>
        <v>45825.065000000002</v>
      </c>
      <c r="E201" s="205">
        <f>+E199+E200</f>
        <v>58751.946092124999</v>
      </c>
      <c r="F201" s="205">
        <f>+F199+F200</f>
        <v>91918.603709327086</v>
      </c>
      <c r="G201" s="205">
        <f>+G199+G200</f>
        <v>160909.91217682324</v>
      </c>
      <c r="H201" s="206">
        <f>+H199+H200</f>
        <v>276105.15811793489</v>
      </c>
      <c r="I201" s="56"/>
      <c r="J201" s="56"/>
      <c r="K201" s="8"/>
      <c r="L201" s="8"/>
      <c r="M201" s="8"/>
      <c r="N201" s="8"/>
    </row>
    <row r="202" spans="1:14">
      <c r="A202" s="8"/>
      <c r="B202" s="200"/>
      <c r="C202" s="204"/>
      <c r="D202" s="205"/>
      <c r="E202" s="205"/>
      <c r="F202" s="205"/>
      <c r="G202" s="205"/>
      <c r="H202" s="206"/>
      <c r="I202" s="56"/>
      <c r="J202" s="56"/>
      <c r="K202" s="8"/>
      <c r="L202" s="8"/>
      <c r="M202" s="8"/>
      <c r="N202" s="8"/>
    </row>
    <row r="203" spans="1:14" ht="16.5" thickBot="1">
      <c r="A203" s="8"/>
      <c r="B203" s="219" t="s">
        <v>122</v>
      </c>
      <c r="C203" s="211">
        <f>C197+C201</f>
        <v>47400</v>
      </c>
      <c r="D203" s="212">
        <f t="shared" ref="D203:G203" si="32">D197+D201</f>
        <v>45825.065000000002</v>
      </c>
      <c r="E203" s="212">
        <f t="shared" si="32"/>
        <v>58751.946092124999</v>
      </c>
      <c r="F203" s="212">
        <f t="shared" si="32"/>
        <v>91918.603709327086</v>
      </c>
      <c r="G203" s="212">
        <f t="shared" si="32"/>
        <v>160909.91217682324</v>
      </c>
      <c r="H203" s="213">
        <f t="shared" ref="H203" si="33">H197+H201</f>
        <v>276105.15811793489</v>
      </c>
      <c r="I203" s="56"/>
      <c r="J203" s="56"/>
      <c r="K203" s="8"/>
      <c r="L203" s="8"/>
      <c r="M203" s="8"/>
      <c r="N203" s="8"/>
    </row>
    <row r="204" spans="1:14">
      <c r="A204" s="8"/>
      <c r="B204" s="56"/>
      <c r="C204" s="220"/>
      <c r="D204" s="220"/>
      <c r="E204" s="220"/>
      <c r="F204" s="56"/>
      <c r="G204" s="56"/>
      <c r="H204" s="56"/>
      <c r="I204" s="56"/>
      <c r="J204" s="56"/>
      <c r="K204" s="8"/>
      <c r="L204" s="8"/>
      <c r="M204" s="8"/>
      <c r="N204" s="8"/>
    </row>
    <row r="205" spans="1:14">
      <c r="A205" s="8"/>
      <c r="B205" s="56"/>
      <c r="C205" s="220"/>
      <c r="D205" s="220"/>
      <c r="E205" s="220">
        <f>+E189-E203</f>
        <v>0</v>
      </c>
      <c r="F205" s="220">
        <f t="shared" ref="F205:H205" si="34">+F189-F203</f>
        <v>0</v>
      </c>
      <c r="G205" s="220">
        <f t="shared" si="34"/>
        <v>0</v>
      </c>
      <c r="H205" s="220">
        <f t="shared" si="34"/>
        <v>0</v>
      </c>
      <c r="I205" s="56"/>
      <c r="J205" s="56"/>
      <c r="K205" s="8"/>
      <c r="L205" s="8"/>
      <c r="M205" s="8"/>
      <c r="N205" s="8"/>
    </row>
    <row r="206" spans="1:14">
      <c r="A206" s="8"/>
      <c r="B206" s="56"/>
      <c r="C206" s="220"/>
      <c r="D206" s="220"/>
      <c r="E206" s="220"/>
      <c r="F206" s="220"/>
      <c r="G206" s="220"/>
      <c r="H206" s="56"/>
      <c r="I206" s="56"/>
      <c r="J206" s="56"/>
      <c r="K206" s="8"/>
      <c r="L206" s="8"/>
      <c r="M206" s="8"/>
      <c r="N206" s="8"/>
    </row>
    <row r="207" spans="1:14">
      <c r="A207" s="8"/>
      <c r="B207" s="56"/>
      <c r="C207" s="220"/>
      <c r="D207" s="220"/>
      <c r="E207" s="220"/>
      <c r="F207" s="220"/>
      <c r="G207" s="220"/>
      <c r="H207" s="56"/>
      <c r="I207" s="56"/>
      <c r="J207" s="56"/>
      <c r="K207" s="8"/>
      <c r="L207" s="8"/>
      <c r="M207" s="8"/>
      <c r="N207" s="8"/>
    </row>
    <row r="208" spans="1:14" ht="16.5" thickBot="1">
      <c r="A208" s="8"/>
      <c r="B208" s="86" t="s">
        <v>140</v>
      </c>
      <c r="C208" s="220"/>
      <c r="D208" s="220"/>
      <c r="E208" s="220"/>
      <c r="F208" s="220"/>
      <c r="G208" s="220"/>
      <c r="H208" s="56"/>
      <c r="I208" s="56"/>
      <c r="J208" s="56"/>
      <c r="K208" s="8"/>
      <c r="L208" s="8"/>
      <c r="M208" s="8"/>
      <c r="N208" s="8"/>
    </row>
    <row r="209" spans="1:14" ht="16.5" thickBot="1">
      <c r="A209" s="8"/>
      <c r="B209" s="197"/>
      <c r="C209" s="221" t="s">
        <v>173</v>
      </c>
      <c r="D209" s="221" t="s">
        <v>14</v>
      </c>
      <c r="E209" s="221" t="s">
        <v>15</v>
      </c>
      <c r="F209" s="221" t="s">
        <v>16</v>
      </c>
      <c r="G209" s="221" t="s">
        <v>183</v>
      </c>
      <c r="H209" s="222" t="s">
        <v>18</v>
      </c>
      <c r="I209" s="56"/>
      <c r="J209" s="56"/>
      <c r="K209" s="8"/>
      <c r="L209" s="8"/>
      <c r="M209" s="8"/>
      <c r="N209" s="8"/>
    </row>
    <row r="210" spans="1:14">
      <c r="A210" s="8"/>
      <c r="B210" s="223" t="s">
        <v>123</v>
      </c>
      <c r="C210" s="224">
        <v>0</v>
      </c>
      <c r="D210" s="190">
        <f>+C222</f>
        <v>4400</v>
      </c>
      <c r="E210" s="190">
        <f>+D222</f>
        <v>13125.065000000002</v>
      </c>
      <c r="F210" s="190">
        <f>+E222</f>
        <v>36351.946092124999</v>
      </c>
      <c r="G210" s="190">
        <f>+F222</f>
        <v>69151.937042660415</v>
      </c>
      <c r="H210" s="225">
        <f>+G222</f>
        <v>147776.5788434899</v>
      </c>
      <c r="I210" s="56"/>
      <c r="J210" s="56"/>
      <c r="K210" s="8"/>
      <c r="L210" s="8"/>
      <c r="M210" s="8"/>
      <c r="N210" s="8"/>
    </row>
    <row r="211" spans="1:14">
      <c r="A211" s="44"/>
      <c r="B211" s="226"/>
      <c r="C211" s="224"/>
      <c r="D211" s="190"/>
      <c r="E211" s="190"/>
      <c r="F211" s="190"/>
      <c r="G211" s="190"/>
      <c r="H211" s="189"/>
      <c r="I211" s="56"/>
      <c r="J211" s="56"/>
      <c r="K211" s="8"/>
      <c r="L211" s="8"/>
      <c r="M211" s="8"/>
      <c r="N211" s="8"/>
    </row>
    <row r="212" spans="1:14">
      <c r="A212" s="8"/>
      <c r="B212" s="226" t="s">
        <v>124</v>
      </c>
      <c r="C212" s="190"/>
      <c r="D212" s="190">
        <f>+C131</f>
        <v>-1574.9349999999977</v>
      </c>
      <c r="E212" s="190">
        <f>+D131</f>
        <v>12926.881092124997</v>
      </c>
      <c r="F212" s="190">
        <f>+E131</f>
        <v>33166.657617202094</v>
      </c>
      <c r="G212" s="190">
        <f>+F131</f>
        <v>68991.308467496143</v>
      </c>
      <c r="H212" s="227">
        <f>+G131</f>
        <v>115195.24594111166</v>
      </c>
      <c r="I212" s="56"/>
      <c r="J212" s="56"/>
      <c r="K212" s="8"/>
      <c r="L212" s="8"/>
      <c r="M212" s="8"/>
      <c r="N212" s="8"/>
    </row>
    <row r="213" spans="1:14">
      <c r="A213" s="8"/>
      <c r="B213" s="226" t="s">
        <v>125</v>
      </c>
      <c r="C213" s="190"/>
      <c r="D213" s="190">
        <f>+D94+D95</f>
        <v>10300</v>
      </c>
      <c r="E213" s="190">
        <f>+E94+E95</f>
        <v>10300</v>
      </c>
      <c r="F213" s="190">
        <f>+F94+F95</f>
        <v>14633.333333333334</v>
      </c>
      <c r="G213" s="190">
        <f>+G94+G95</f>
        <v>9633.3333333333339</v>
      </c>
      <c r="H213" s="227">
        <f>+H94+H95</f>
        <v>13966.666666666668</v>
      </c>
      <c r="I213" s="56"/>
      <c r="J213" s="56"/>
      <c r="K213" s="8"/>
      <c r="L213" s="8"/>
      <c r="M213" s="8"/>
      <c r="N213" s="8"/>
    </row>
    <row r="214" spans="1:14">
      <c r="A214" s="8"/>
      <c r="B214" s="226" t="s">
        <v>126</v>
      </c>
      <c r="C214" s="190"/>
      <c r="D214" s="190"/>
      <c r="E214" s="190"/>
      <c r="F214" s="190"/>
      <c r="G214" s="190"/>
      <c r="H214" s="189"/>
      <c r="I214" s="56"/>
      <c r="J214" s="56"/>
      <c r="K214" s="8"/>
      <c r="L214" s="8"/>
      <c r="M214" s="8"/>
      <c r="N214" s="8"/>
    </row>
    <row r="215" spans="1:14">
      <c r="A215" s="8"/>
      <c r="B215" s="226" t="s">
        <v>127</v>
      </c>
      <c r="C215" s="190">
        <f>-C176</f>
        <v>-18000</v>
      </c>
      <c r="D215" s="190"/>
      <c r="E215" s="88"/>
      <c r="F215" s="190">
        <v>-10000</v>
      </c>
      <c r="G215" s="88"/>
      <c r="H215" s="227">
        <v>-10000</v>
      </c>
      <c r="I215" s="56"/>
      <c r="J215" s="56"/>
      <c r="K215" s="8"/>
      <c r="L215" s="8"/>
      <c r="M215" s="8"/>
      <c r="N215" s="8"/>
    </row>
    <row r="216" spans="1:14">
      <c r="A216" s="8"/>
      <c r="B216" s="226" t="s">
        <v>128</v>
      </c>
      <c r="C216" s="190">
        <f>-C185</f>
        <v>-25000</v>
      </c>
      <c r="D216" s="190"/>
      <c r="E216" s="88"/>
      <c r="F216" s="190">
        <v>-5000</v>
      </c>
      <c r="G216" s="88"/>
      <c r="H216" s="227">
        <v>-5000</v>
      </c>
      <c r="I216" s="56"/>
      <c r="J216" s="56"/>
      <c r="K216" s="8"/>
      <c r="L216" s="8"/>
      <c r="M216" s="8"/>
      <c r="N216" s="8"/>
    </row>
    <row r="217" spans="1:14">
      <c r="A217" s="8"/>
      <c r="B217" s="226" t="s">
        <v>129</v>
      </c>
      <c r="C217" s="190">
        <v>0</v>
      </c>
      <c r="D217" s="190"/>
      <c r="E217" s="190"/>
      <c r="F217" s="190"/>
      <c r="G217" s="190"/>
      <c r="H217" s="189"/>
      <c r="I217" s="56"/>
      <c r="J217" s="56"/>
      <c r="K217" s="8"/>
      <c r="L217" s="8"/>
      <c r="M217" s="8"/>
      <c r="N217" s="8"/>
    </row>
    <row r="218" spans="1:14">
      <c r="A218" s="8"/>
      <c r="B218" s="228" t="s">
        <v>130</v>
      </c>
      <c r="C218" s="190">
        <v>0</v>
      </c>
      <c r="D218" s="190"/>
      <c r="E218" s="190"/>
      <c r="F218" s="190"/>
      <c r="G218" s="190"/>
      <c r="H218" s="189"/>
      <c r="I218" s="56"/>
      <c r="J218" s="56"/>
      <c r="K218" s="8"/>
      <c r="L218" s="8"/>
      <c r="M218" s="8"/>
      <c r="N218" s="8"/>
    </row>
    <row r="219" spans="1:14">
      <c r="A219" s="8"/>
      <c r="B219" s="226" t="s">
        <v>131</v>
      </c>
      <c r="C219" s="190">
        <f>+C199</f>
        <v>47400</v>
      </c>
      <c r="D219" s="190"/>
      <c r="E219" s="190"/>
      <c r="F219" s="190"/>
      <c r="G219" s="190"/>
      <c r="H219" s="227"/>
      <c r="I219" s="56"/>
      <c r="J219" s="56"/>
      <c r="K219" s="8"/>
      <c r="L219" s="8"/>
      <c r="M219" s="8"/>
      <c r="N219" s="8"/>
    </row>
    <row r="220" spans="1:14">
      <c r="A220" s="8"/>
      <c r="B220" s="226" t="s">
        <v>132</v>
      </c>
      <c r="C220" s="229">
        <v>0</v>
      </c>
      <c r="D220" s="190"/>
      <c r="E220" s="190"/>
      <c r="F220" s="190"/>
      <c r="G220" s="190"/>
      <c r="H220" s="189"/>
      <c r="I220" s="56"/>
      <c r="J220" s="56"/>
      <c r="K220" s="8"/>
      <c r="L220" s="8"/>
      <c r="M220" s="8"/>
      <c r="N220" s="8"/>
    </row>
    <row r="221" spans="1:14" ht="16.5" thickBot="1">
      <c r="A221" s="8"/>
      <c r="B221" s="226"/>
      <c r="C221" s="190"/>
      <c r="D221" s="190"/>
      <c r="E221" s="190"/>
      <c r="F221" s="190"/>
      <c r="G221" s="190"/>
      <c r="H221" s="189"/>
      <c r="I221" s="56"/>
      <c r="J221" s="56"/>
      <c r="K221" s="8"/>
      <c r="L221" s="8"/>
      <c r="M221" s="8"/>
      <c r="N221" s="8"/>
    </row>
    <row r="222" spans="1:14" ht="16.5" thickBot="1">
      <c r="A222" s="8"/>
      <c r="B222" s="230" t="s">
        <v>133</v>
      </c>
      <c r="C222" s="231">
        <f>SUM(C210:C219)</f>
        <v>4400</v>
      </c>
      <c r="D222" s="231">
        <f>SUM(D210:D220)</f>
        <v>13125.065000000002</v>
      </c>
      <c r="E222" s="231">
        <f t="shared" ref="E222:H222" si="35">SUM(E210:E220)</f>
        <v>36351.946092124999</v>
      </c>
      <c r="F222" s="231">
        <f t="shared" si="35"/>
        <v>69151.937042660415</v>
      </c>
      <c r="G222" s="231">
        <f t="shared" si="35"/>
        <v>147776.5788434899</v>
      </c>
      <c r="H222" s="232">
        <f t="shared" si="35"/>
        <v>261938.49145126826</v>
      </c>
      <c r="I222" s="56"/>
      <c r="J222" s="56"/>
      <c r="K222" s="8"/>
      <c r="L222" s="8"/>
      <c r="M222" s="8"/>
      <c r="N222" s="8"/>
    </row>
    <row r="223" spans="1:14">
      <c r="A223" s="8"/>
      <c r="B223" s="56"/>
      <c r="C223" s="220"/>
      <c r="D223" s="220"/>
      <c r="E223" s="220"/>
      <c r="F223" s="56"/>
      <c r="G223" s="56"/>
      <c r="H223" s="56"/>
      <c r="I223" s="56"/>
      <c r="J223" s="56"/>
      <c r="K223" s="8"/>
      <c r="L223" s="8"/>
      <c r="M223" s="8"/>
      <c r="N223" s="8"/>
    </row>
    <row r="224" spans="1:14">
      <c r="A224" s="8"/>
      <c r="B224" s="56"/>
      <c r="C224" s="56"/>
      <c r="D224" s="56"/>
      <c r="E224" s="56"/>
      <c r="F224" s="56"/>
      <c r="G224" s="56"/>
      <c r="H224" s="56"/>
      <c r="I224" s="56"/>
      <c r="J224" s="56"/>
      <c r="K224" s="8"/>
      <c r="L224" s="8"/>
      <c r="M224" s="8"/>
      <c r="N224" s="8"/>
    </row>
    <row r="225" spans="1:14">
      <c r="A225" s="8"/>
      <c r="B225" s="56"/>
      <c r="C225" s="56"/>
      <c r="D225" s="56"/>
      <c r="E225" s="56"/>
      <c r="F225" s="56"/>
      <c r="G225" s="56"/>
      <c r="H225" s="56"/>
      <c r="I225" s="56"/>
      <c r="J225" s="56"/>
      <c r="K225" s="8"/>
      <c r="L225" s="8"/>
      <c r="M225" s="8"/>
      <c r="N225" s="8"/>
    </row>
    <row r="226" spans="1:14" ht="16.5" thickBot="1">
      <c r="A226" s="8"/>
      <c r="B226" s="56"/>
      <c r="C226" s="56"/>
      <c r="D226" s="56"/>
      <c r="E226" s="56"/>
      <c r="F226" s="56"/>
      <c r="G226" s="56"/>
      <c r="H226" s="56"/>
      <c r="I226" s="56"/>
      <c r="J226" s="56"/>
      <c r="K226" s="8"/>
      <c r="L226" s="8"/>
      <c r="M226" s="8"/>
      <c r="N226" s="8"/>
    </row>
    <row r="227" spans="1:14">
      <c r="A227" s="8"/>
      <c r="B227" s="233" t="s">
        <v>94</v>
      </c>
      <c r="C227" s="234"/>
      <c r="D227" s="235"/>
      <c r="E227" s="236">
        <v>0.12</v>
      </c>
      <c r="F227" s="56"/>
      <c r="G227" s="56"/>
      <c r="H227" s="56"/>
      <c r="I227" s="56"/>
      <c r="J227" s="56"/>
      <c r="K227" s="8"/>
      <c r="L227" s="8"/>
      <c r="M227" s="8"/>
      <c r="N227" s="8"/>
    </row>
    <row r="228" spans="1:14">
      <c r="A228" s="8"/>
      <c r="B228" s="237" t="s">
        <v>9</v>
      </c>
      <c r="C228" s="238"/>
      <c r="D228" s="239"/>
      <c r="E228" s="240">
        <f>+'Inversiones, Deprec., Amort'!D38</f>
        <v>47400</v>
      </c>
      <c r="F228" s="56"/>
      <c r="G228" s="56"/>
      <c r="H228" s="56"/>
      <c r="I228" s="56"/>
      <c r="J228" s="56"/>
      <c r="K228" s="8"/>
      <c r="L228" s="8"/>
      <c r="M228" s="8"/>
      <c r="N228" s="8"/>
    </row>
    <row r="229" spans="1:14" ht="16.5" thickBot="1">
      <c r="A229" s="8"/>
      <c r="B229" s="241" t="s">
        <v>155</v>
      </c>
      <c r="C229" s="238"/>
      <c r="D229" s="242"/>
      <c r="E229" s="243">
        <f>+C159+NPV(E227,D159:H159)</f>
        <v>195711.48018746142</v>
      </c>
      <c r="F229" s="244"/>
      <c r="G229" s="56"/>
      <c r="H229" s="56"/>
      <c r="I229" s="56"/>
      <c r="J229" s="56"/>
      <c r="K229" s="8"/>
      <c r="L229" s="8"/>
      <c r="M229" s="8"/>
      <c r="N229" s="8"/>
    </row>
    <row r="230" spans="1:14" ht="16.5" thickBot="1">
      <c r="A230" s="8"/>
      <c r="B230" s="245" t="s">
        <v>156</v>
      </c>
      <c r="C230" s="246"/>
      <c r="D230" s="246"/>
      <c r="E230" s="247">
        <f>IRR(C159:H159)</f>
        <v>0.92331609288009786</v>
      </c>
      <c r="F230" s="244"/>
      <c r="G230" s="196"/>
      <c r="H230" s="56"/>
      <c r="I230" s="56"/>
      <c r="J230" s="56"/>
      <c r="K230" s="8"/>
      <c r="L230" s="8"/>
      <c r="M230" s="8"/>
      <c r="N230" s="8"/>
    </row>
    <row r="231" spans="1:14">
      <c r="A231" s="8"/>
      <c r="B231" s="56"/>
      <c r="C231" s="56"/>
      <c r="D231" s="56"/>
      <c r="E231" s="248"/>
      <c r="F231" s="56"/>
      <c r="G231" s="56"/>
      <c r="H231" s="56"/>
      <c r="I231" s="56"/>
      <c r="J231" s="56"/>
      <c r="K231" s="8"/>
      <c r="L231" s="8"/>
      <c r="M231" s="8"/>
      <c r="N231" s="8"/>
    </row>
    <row r="232" spans="1:14" ht="16.5" thickBot="1">
      <c r="A232" s="8"/>
      <c r="B232" s="56"/>
      <c r="C232" s="56"/>
      <c r="D232" s="56"/>
      <c r="E232" s="248"/>
      <c r="F232" s="56"/>
      <c r="G232" s="56"/>
      <c r="H232" s="56"/>
      <c r="I232" s="56"/>
      <c r="J232" s="56"/>
      <c r="K232" s="8"/>
      <c r="L232" s="8"/>
      <c r="M232" s="8"/>
      <c r="N232" s="8"/>
    </row>
    <row r="233" spans="1:14">
      <c r="A233" s="8"/>
      <c r="B233" s="249" t="s">
        <v>95</v>
      </c>
      <c r="C233" s="250" t="s">
        <v>96</v>
      </c>
      <c r="D233" s="56"/>
      <c r="E233" s="56"/>
      <c r="F233" s="56"/>
      <c r="G233" s="56"/>
      <c r="H233" s="56"/>
      <c r="I233" s="56"/>
      <c r="J233" s="56"/>
      <c r="K233" s="8"/>
      <c r="L233" s="8"/>
      <c r="M233" s="8"/>
      <c r="N233" s="8"/>
    </row>
    <row r="234" spans="1:14" ht="16.5" thickBot="1">
      <c r="A234" s="8"/>
      <c r="B234" s="251">
        <f>+E228</f>
        <v>47400</v>
      </c>
      <c r="C234" s="252"/>
      <c r="D234" s="56"/>
      <c r="E234" s="56"/>
      <c r="F234" s="56"/>
      <c r="G234" s="56"/>
      <c r="H234" s="56"/>
      <c r="I234" s="56"/>
      <c r="J234" s="56"/>
      <c r="K234" s="8"/>
      <c r="L234" s="8"/>
      <c r="M234" s="8"/>
      <c r="N234" s="8"/>
    </row>
    <row r="235" spans="1:14" ht="16.5" thickBot="1">
      <c r="A235" s="8"/>
      <c r="B235" s="116"/>
      <c r="C235" s="116"/>
      <c r="D235" s="56"/>
      <c r="E235" s="56"/>
      <c r="F235" s="56"/>
      <c r="G235" s="56"/>
      <c r="H235" s="56"/>
      <c r="I235" s="56"/>
      <c r="J235" s="56"/>
      <c r="K235" s="8"/>
      <c r="L235" s="8"/>
      <c r="M235" s="8"/>
      <c r="N235" s="8"/>
    </row>
    <row r="236" spans="1:14" ht="16.5" thickBot="1">
      <c r="A236" s="8"/>
      <c r="B236" s="294" t="s">
        <v>5</v>
      </c>
      <c r="C236" s="253" t="s">
        <v>175</v>
      </c>
      <c r="D236" s="82" t="s">
        <v>171</v>
      </c>
      <c r="E236" s="82" t="s">
        <v>162</v>
      </c>
      <c r="F236" s="82" t="s">
        <v>163</v>
      </c>
      <c r="G236" s="92" t="s">
        <v>164</v>
      </c>
      <c r="H236" s="56"/>
      <c r="I236" s="56"/>
      <c r="J236" s="56"/>
      <c r="K236" s="8"/>
      <c r="L236" s="8"/>
      <c r="M236" s="8"/>
      <c r="N236" s="8"/>
    </row>
    <row r="237" spans="1:14">
      <c r="A237" s="8"/>
      <c r="B237" s="106" t="s">
        <v>7</v>
      </c>
      <c r="C237" s="56">
        <v>25000</v>
      </c>
      <c r="D237" s="56" t="s">
        <v>11</v>
      </c>
      <c r="E237" s="62">
        <v>5000</v>
      </c>
      <c r="F237" s="254" t="s">
        <v>11</v>
      </c>
      <c r="G237" s="255">
        <v>5000</v>
      </c>
      <c r="H237" s="56"/>
      <c r="I237" s="56"/>
      <c r="J237" s="256"/>
      <c r="K237" s="8"/>
      <c r="L237" s="8"/>
      <c r="M237" s="8"/>
      <c r="N237" s="8"/>
    </row>
    <row r="238" spans="1:14">
      <c r="A238" s="8"/>
      <c r="B238" s="106" t="s">
        <v>178</v>
      </c>
      <c r="C238" s="56">
        <v>15000</v>
      </c>
      <c r="D238" s="56" t="s">
        <v>11</v>
      </c>
      <c r="E238" s="62">
        <v>10000</v>
      </c>
      <c r="F238" s="254" t="s">
        <v>11</v>
      </c>
      <c r="G238" s="63">
        <v>10000</v>
      </c>
      <c r="H238" s="56"/>
      <c r="I238" s="56"/>
      <c r="J238" s="256"/>
      <c r="K238" s="8"/>
      <c r="L238" s="8"/>
      <c r="M238" s="8"/>
      <c r="N238" s="8"/>
    </row>
    <row r="239" spans="1:14" ht="16.5" thickBot="1">
      <c r="A239" s="8"/>
      <c r="B239" s="106" t="s">
        <v>176</v>
      </c>
      <c r="C239" s="56">
        <v>3000</v>
      </c>
      <c r="D239" s="56"/>
      <c r="E239" s="62"/>
      <c r="F239" s="254"/>
      <c r="G239" s="63"/>
      <c r="H239" s="56"/>
      <c r="I239" s="56"/>
      <c r="J239" s="256"/>
      <c r="K239" s="8"/>
      <c r="L239" s="8"/>
      <c r="M239" s="8"/>
      <c r="N239" s="8"/>
    </row>
    <row r="240" spans="1:14" ht="16.5" thickBot="1">
      <c r="A240" s="8"/>
      <c r="B240" s="281" t="s">
        <v>10</v>
      </c>
      <c r="C240" s="158">
        <f>SUM(C237:C239)</f>
        <v>43000</v>
      </c>
      <c r="D240" s="257">
        <f>SUM(D237:D238)</f>
        <v>0</v>
      </c>
      <c r="E240" s="257">
        <f t="shared" ref="E240:G240" si="36">SUM(E237:E238)</f>
        <v>15000</v>
      </c>
      <c r="F240" s="257">
        <f t="shared" si="36"/>
        <v>0</v>
      </c>
      <c r="G240" s="258">
        <f t="shared" si="36"/>
        <v>15000</v>
      </c>
      <c r="H240" s="56"/>
      <c r="I240" s="56"/>
      <c r="J240" s="256"/>
      <c r="K240" s="8"/>
      <c r="L240" s="8"/>
      <c r="M240" s="8"/>
      <c r="N240" s="8"/>
    </row>
    <row r="241" spans="1:14" ht="16.5" thickBot="1">
      <c r="A241" s="8"/>
      <c r="B241" s="56"/>
      <c r="C241" s="62"/>
      <c r="D241" s="62"/>
      <c r="E241" s="62"/>
      <c r="F241" s="62"/>
      <c r="G241" s="56"/>
      <c r="H241" s="56"/>
      <c r="I241" s="56"/>
      <c r="J241" s="256"/>
      <c r="K241" s="8"/>
      <c r="L241" s="8"/>
      <c r="M241" s="8"/>
      <c r="N241" s="8"/>
    </row>
    <row r="242" spans="1:14" ht="16.5" thickBot="1">
      <c r="A242" s="8"/>
      <c r="B242" s="95" t="s">
        <v>170</v>
      </c>
      <c r="C242" s="99">
        <f>+B234+D240+E240+F240+G240+G230</f>
        <v>77400</v>
      </c>
      <c r="D242" s="62"/>
      <c r="E242" s="62"/>
      <c r="F242" s="62"/>
      <c r="G242" s="56"/>
      <c r="H242" s="56"/>
      <c r="I242" s="56"/>
      <c r="J242" s="256"/>
      <c r="K242" s="8"/>
      <c r="L242" s="8"/>
      <c r="M242" s="8"/>
      <c r="N242" s="8"/>
    </row>
    <row r="243" spans="1:14">
      <c r="A243" s="8"/>
      <c r="B243" s="259"/>
      <c r="C243" s="256"/>
      <c r="D243" s="256"/>
      <c r="E243" s="256"/>
      <c r="F243" s="256"/>
      <c r="G243" s="256"/>
      <c r="H243" s="256"/>
      <c r="I243" s="256"/>
      <c r="J243" s="256"/>
      <c r="K243" s="8"/>
      <c r="L243" s="8"/>
      <c r="M243" s="8"/>
      <c r="N243" s="8"/>
    </row>
    <row r="244" spans="1:14">
      <c r="A244" s="8"/>
      <c r="B244" s="256"/>
      <c r="C244" s="256"/>
      <c r="D244" s="256"/>
      <c r="E244" s="256"/>
      <c r="F244" s="256"/>
      <c r="G244" s="256"/>
      <c r="H244" s="256"/>
      <c r="I244" s="256"/>
      <c r="J244" s="256"/>
      <c r="K244" s="8"/>
      <c r="L244" s="8"/>
      <c r="M244" s="8"/>
      <c r="N244" s="8"/>
    </row>
    <row r="245" spans="1:14" ht="16.5" thickBot="1">
      <c r="A245" s="8"/>
      <c r="B245" s="256"/>
      <c r="C245" s="256"/>
      <c r="D245" s="256"/>
      <c r="E245" s="256"/>
      <c r="F245" s="256"/>
      <c r="G245" s="256"/>
      <c r="H245" s="256"/>
      <c r="I245" s="256"/>
      <c r="J245" s="256"/>
      <c r="K245" s="8"/>
      <c r="L245" s="8"/>
      <c r="M245" s="8"/>
      <c r="N245" s="8"/>
    </row>
    <row r="246" spans="1:14" ht="16.5" thickBot="1">
      <c r="A246" s="8"/>
      <c r="B246" s="245" t="s">
        <v>105</v>
      </c>
      <c r="C246" s="101"/>
      <c r="D246" s="101"/>
      <c r="E246" s="305" t="s">
        <v>14</v>
      </c>
      <c r="F246" s="306" t="s">
        <v>15</v>
      </c>
      <c r="G246" s="306" t="s">
        <v>16</v>
      </c>
      <c r="H246" s="306" t="s">
        <v>17</v>
      </c>
      <c r="I246" s="307" t="s">
        <v>18</v>
      </c>
      <c r="J246" s="256"/>
      <c r="K246" s="8"/>
      <c r="L246" s="8"/>
      <c r="M246" s="8"/>
      <c r="N246" s="8"/>
    </row>
    <row r="247" spans="1:14" ht="16.5" thickBot="1">
      <c r="A247" s="8"/>
      <c r="B247" s="71" t="s">
        <v>97</v>
      </c>
      <c r="C247" s="260" t="s">
        <v>100</v>
      </c>
      <c r="D247" s="261" t="s">
        <v>185</v>
      </c>
      <c r="E247" s="302">
        <f>+C131/C117</f>
        <v>-1.8975120481927683E-2</v>
      </c>
      <c r="F247" s="303">
        <f>+D131/D117</f>
        <v>0.11952733326051777</v>
      </c>
      <c r="G247" s="303">
        <f>+E131/E117</f>
        <v>0.22716499797744624</v>
      </c>
      <c r="H247" s="303">
        <f>+F131/F117</f>
        <v>0.34263745213830049</v>
      </c>
      <c r="I247" s="304">
        <f>+G131/G117</f>
        <v>0.40953676354664709</v>
      </c>
      <c r="J247" s="256"/>
      <c r="K247" s="8"/>
      <c r="L247" s="8"/>
      <c r="M247" s="8"/>
      <c r="N247" s="8"/>
    </row>
    <row r="248" spans="1:14">
      <c r="A248" s="8"/>
      <c r="B248" s="262"/>
      <c r="C248" s="262"/>
      <c r="D248" s="262"/>
      <c r="E248" s="263"/>
      <c r="F248" s="263"/>
      <c r="G248" s="263"/>
      <c r="H248" s="263"/>
      <c r="I248" s="263"/>
      <c r="J248" s="256"/>
      <c r="K248" s="8"/>
      <c r="L248" s="8"/>
      <c r="M248" s="8"/>
      <c r="N248" s="8"/>
    </row>
    <row r="249" spans="1:14">
      <c r="A249" s="8"/>
      <c r="B249" s="56"/>
      <c r="C249" s="56"/>
      <c r="D249" s="56"/>
      <c r="E249" s="56"/>
      <c r="F249" s="143"/>
      <c r="G249" s="56"/>
      <c r="H249" s="56"/>
      <c r="I249" s="56"/>
      <c r="J249" s="256"/>
      <c r="K249" s="8"/>
      <c r="L249" s="8"/>
      <c r="M249" s="8"/>
      <c r="N249" s="8"/>
    </row>
    <row r="250" spans="1:14" ht="16.5" thickBot="1">
      <c r="A250" s="8"/>
      <c r="B250" s="56"/>
      <c r="C250" s="56"/>
      <c r="D250" s="56"/>
      <c r="E250" s="56"/>
      <c r="F250" s="56"/>
      <c r="G250" s="56"/>
      <c r="H250" s="56"/>
      <c r="I250" s="56"/>
      <c r="J250" s="56"/>
      <c r="K250" s="8"/>
      <c r="L250" s="8"/>
      <c r="M250" s="8"/>
      <c r="N250" s="8"/>
    </row>
    <row r="251" spans="1:14" ht="16.5" thickBot="1">
      <c r="A251" s="8"/>
      <c r="B251" s="245" t="s">
        <v>105</v>
      </c>
      <c r="C251" s="101"/>
      <c r="D251" s="264"/>
      <c r="E251" s="305" t="s">
        <v>14</v>
      </c>
      <c r="F251" s="306" t="s">
        <v>15</v>
      </c>
      <c r="G251" s="306" t="s">
        <v>16</v>
      </c>
      <c r="H251" s="306" t="s">
        <v>17</v>
      </c>
      <c r="I251" s="307" t="s">
        <v>18</v>
      </c>
      <c r="J251" s="56"/>
      <c r="K251" s="8"/>
      <c r="L251" s="8"/>
      <c r="M251" s="8"/>
      <c r="N251" s="8"/>
    </row>
    <row r="252" spans="1:14" ht="16.5" thickBot="1">
      <c r="A252" s="8"/>
      <c r="B252" s="71" t="s">
        <v>98</v>
      </c>
      <c r="C252" s="260" t="s">
        <v>101</v>
      </c>
      <c r="D252" s="151" t="s">
        <v>103</v>
      </c>
      <c r="E252" s="303">
        <f>+C131/D201</f>
        <v>-3.4368418244469429E-2</v>
      </c>
      <c r="F252" s="303">
        <f>+D131/E201</f>
        <v>0.22002473027625705</v>
      </c>
      <c r="G252" s="303">
        <f>+E131/F201</f>
        <v>0.36082638637641357</v>
      </c>
      <c r="H252" s="303">
        <f>+F131/G201</f>
        <v>0.42875735580342544</v>
      </c>
      <c r="I252" s="308">
        <f>+G131/H201</f>
        <v>0.41721511733550243</v>
      </c>
      <c r="J252" s="56"/>
      <c r="K252" s="8"/>
      <c r="L252" s="8"/>
      <c r="M252" s="8"/>
      <c r="N252" s="8"/>
    </row>
    <row r="253" spans="1:14">
      <c r="A253" s="8"/>
      <c r="B253" s="56"/>
      <c r="C253" s="220"/>
      <c r="D253" s="56"/>
      <c r="E253" s="56"/>
      <c r="F253" s="56"/>
      <c r="G253" s="56"/>
      <c r="H253" s="56"/>
      <c r="I253" s="56"/>
      <c r="J253" s="56"/>
      <c r="K253" s="8"/>
      <c r="L253" s="8"/>
      <c r="M253" s="8"/>
      <c r="N253" s="8"/>
    </row>
    <row r="254" spans="1:14">
      <c r="A254" s="8"/>
      <c r="B254" s="56"/>
      <c r="C254" s="220"/>
      <c r="D254" s="56"/>
      <c r="E254" s="56"/>
      <c r="F254" s="56"/>
      <c r="G254" s="56"/>
      <c r="H254" s="56"/>
      <c r="I254" s="56"/>
      <c r="J254" s="56"/>
      <c r="K254" s="8"/>
      <c r="L254" s="8"/>
      <c r="M254" s="8"/>
      <c r="N254" s="8"/>
    </row>
    <row r="255" spans="1:14" ht="16.5" thickBot="1">
      <c r="A255" s="8"/>
      <c r="B255" s="56"/>
      <c r="C255" s="220"/>
      <c r="D255" s="56"/>
      <c r="E255" s="56"/>
      <c r="F255" s="56"/>
      <c r="G255" s="56"/>
      <c r="H255" s="56"/>
      <c r="I255" s="56"/>
      <c r="J255" s="56"/>
      <c r="K255" s="8"/>
      <c r="L255" s="8"/>
      <c r="M255" s="8"/>
      <c r="N255" s="8"/>
    </row>
    <row r="256" spans="1:14" ht="16.5" thickBot="1">
      <c r="A256" s="8"/>
      <c r="B256" s="245" t="s">
        <v>105</v>
      </c>
      <c r="C256" s="101"/>
      <c r="D256" s="101"/>
      <c r="E256" s="305" t="s">
        <v>14</v>
      </c>
      <c r="F256" s="306" t="s">
        <v>15</v>
      </c>
      <c r="G256" s="306" t="s">
        <v>16</v>
      </c>
      <c r="H256" s="306" t="s">
        <v>17</v>
      </c>
      <c r="I256" s="307" t="s">
        <v>18</v>
      </c>
      <c r="J256" s="56"/>
      <c r="K256" s="8"/>
      <c r="L256" s="8"/>
      <c r="M256" s="8"/>
      <c r="N256" s="8"/>
    </row>
    <row r="257" spans="1:14" ht="16.5" thickBot="1">
      <c r="A257" s="8"/>
      <c r="B257" s="71" t="s">
        <v>99</v>
      </c>
      <c r="C257" s="260" t="s">
        <v>102</v>
      </c>
      <c r="D257" s="261" t="s">
        <v>104</v>
      </c>
      <c r="E257" s="302">
        <f>+C131/D189</f>
        <v>-3.4368418244469429E-2</v>
      </c>
      <c r="F257" s="303">
        <f>+D131/E189</f>
        <v>0.22002473027625705</v>
      </c>
      <c r="G257" s="303">
        <f>E131/F189</f>
        <v>0.36082638637641357</v>
      </c>
      <c r="H257" s="303">
        <f>F131/G189</f>
        <v>0.42875735580342544</v>
      </c>
      <c r="I257" s="304">
        <f>G131/H189</f>
        <v>0.41721511733550237</v>
      </c>
      <c r="J257" s="56"/>
      <c r="K257" s="8"/>
      <c r="L257" s="8"/>
      <c r="M257" s="8"/>
      <c r="N257" s="8"/>
    </row>
    <row r="258" spans="1:14">
      <c r="A258" s="8"/>
      <c r="B258" s="56"/>
      <c r="C258" s="56"/>
      <c r="D258" s="56"/>
      <c r="E258" s="56"/>
      <c r="F258" s="56"/>
      <c r="G258" s="56"/>
      <c r="H258" s="56"/>
      <c r="I258" s="56"/>
      <c r="J258" s="56"/>
      <c r="K258" s="8"/>
      <c r="L258" s="8"/>
      <c r="M258" s="8"/>
      <c r="N258" s="8"/>
    </row>
    <row r="259" spans="1:14">
      <c r="A259" s="8"/>
      <c r="B259" s="56"/>
      <c r="C259" s="220"/>
      <c r="D259" s="56"/>
      <c r="E259" s="56"/>
      <c r="F259" s="56"/>
      <c r="G259" s="56"/>
      <c r="H259" s="56"/>
      <c r="I259" s="56"/>
      <c r="J259" s="56"/>
      <c r="K259" s="8"/>
      <c r="L259" s="8"/>
      <c r="M259" s="8"/>
      <c r="N259" s="8"/>
    </row>
    <row r="260" spans="1:14">
      <c r="A260" s="44"/>
      <c r="B260" s="56"/>
      <c r="C260" s="220"/>
      <c r="D260" s="56"/>
      <c r="E260" s="56"/>
      <c r="F260" s="56"/>
      <c r="G260" s="56"/>
      <c r="H260" s="56"/>
      <c r="I260" s="56"/>
      <c r="J260" s="56"/>
      <c r="K260" s="8"/>
      <c r="L260" s="8"/>
      <c r="M260" s="8"/>
      <c r="N260" s="8"/>
    </row>
    <row r="261" spans="1:14">
      <c r="A261" s="8"/>
      <c r="B261" s="56"/>
      <c r="C261" s="220"/>
      <c r="D261" s="56"/>
      <c r="E261" s="56"/>
      <c r="F261" s="56"/>
      <c r="G261" s="56"/>
      <c r="H261" s="56"/>
      <c r="I261" s="56"/>
      <c r="J261" s="56"/>
      <c r="K261" s="8"/>
      <c r="L261" s="8"/>
      <c r="M261" s="8"/>
      <c r="N261" s="8"/>
    </row>
    <row r="262" spans="1:14" ht="16.5" thickBot="1">
      <c r="A262" s="8"/>
      <c r="B262" s="56"/>
      <c r="C262" s="56"/>
      <c r="D262" s="56"/>
      <c r="E262" s="56"/>
      <c r="F262" s="56"/>
      <c r="G262" s="56"/>
      <c r="H262" s="56"/>
      <c r="I262" s="56"/>
      <c r="J262" s="56"/>
      <c r="K262" s="8"/>
      <c r="L262" s="8"/>
      <c r="M262" s="8"/>
      <c r="N262" s="8"/>
    </row>
    <row r="263" spans="1:14" ht="16.5" thickBot="1">
      <c r="A263" s="8"/>
      <c r="B263" s="265" t="s">
        <v>186</v>
      </c>
      <c r="C263" s="266"/>
      <c r="D263" s="266"/>
      <c r="E263" s="266"/>
      <c r="F263" s="266"/>
      <c r="G263" s="266"/>
      <c r="H263" s="295"/>
      <c r="I263" s="56"/>
      <c r="J263" s="56"/>
      <c r="K263" s="8"/>
      <c r="L263" s="8"/>
      <c r="M263" s="8"/>
      <c r="N263" s="8"/>
    </row>
    <row r="264" spans="1:14">
      <c r="A264" s="8"/>
      <c r="B264" s="296" t="s">
        <v>188</v>
      </c>
      <c r="C264" s="267">
        <f t="shared" ref="C264:H264" si="37">+C159</f>
        <v>-47400</v>
      </c>
      <c r="D264" s="267">
        <f t="shared" si="37"/>
        <v>29925.065000000002</v>
      </c>
      <c r="E264" s="267">
        <f t="shared" si="37"/>
        <v>40026.881092124997</v>
      </c>
      <c r="F264" s="267">
        <f t="shared" si="37"/>
        <v>62599.990950535401</v>
      </c>
      <c r="G264" s="267">
        <f t="shared" si="37"/>
        <v>93424.641800829486</v>
      </c>
      <c r="H264" s="268">
        <f t="shared" si="37"/>
        <v>141961.91260777833</v>
      </c>
      <c r="I264" s="56"/>
      <c r="J264" s="56"/>
      <c r="K264" s="8"/>
      <c r="L264" s="8"/>
      <c r="M264" s="8"/>
      <c r="N264" s="8"/>
    </row>
    <row r="265" spans="1:14">
      <c r="A265" s="8"/>
      <c r="B265" s="297" t="s">
        <v>189</v>
      </c>
      <c r="C265" s="269"/>
      <c r="D265" s="332">
        <f>+D264</f>
        <v>29925.065000000002</v>
      </c>
      <c r="E265" s="332">
        <f>+E264+D265</f>
        <v>69951.946092124999</v>
      </c>
      <c r="F265" s="332">
        <f>+F264+E265</f>
        <v>132551.9370426604</v>
      </c>
      <c r="G265" s="332">
        <f t="shared" ref="G265" si="38">+G264+F265</f>
        <v>225976.57884348987</v>
      </c>
      <c r="H265" s="333">
        <f>+H264+G265</f>
        <v>367938.4914512682</v>
      </c>
      <c r="I265" s="56"/>
      <c r="J265" s="56"/>
      <c r="K265" s="8"/>
      <c r="L265" s="8"/>
      <c r="M265" s="8"/>
      <c r="N265" s="8"/>
    </row>
    <row r="266" spans="1:14">
      <c r="A266" s="8"/>
      <c r="B266" s="200"/>
      <c r="C266" s="88"/>
      <c r="D266" s="191">
        <f>47400-D159</f>
        <v>17474.934999999998</v>
      </c>
      <c r="E266" s="88"/>
      <c r="F266" s="88"/>
      <c r="G266" s="88"/>
      <c r="H266" s="189"/>
      <c r="I266" s="56"/>
      <c r="J266" s="56"/>
      <c r="K266" s="8"/>
      <c r="L266" s="8"/>
      <c r="M266" s="8"/>
      <c r="N266" s="8"/>
    </row>
    <row r="267" spans="1:14" ht="16.5" thickBot="1">
      <c r="A267" s="8"/>
      <c r="B267" s="200"/>
      <c r="C267" s="88"/>
      <c r="D267" s="191">
        <f>+D266/E159</f>
        <v>0.43657998133254672</v>
      </c>
      <c r="E267" s="88"/>
      <c r="F267" s="270"/>
      <c r="G267" s="88"/>
      <c r="H267" s="189"/>
      <c r="I267" s="56"/>
      <c r="J267" s="56"/>
      <c r="K267" s="8"/>
      <c r="L267" s="8"/>
      <c r="M267" s="8"/>
      <c r="N267" s="8"/>
    </row>
    <row r="268" spans="1:14" ht="16.5" thickBot="1">
      <c r="A268" s="47"/>
      <c r="B268" s="298" t="s">
        <v>187</v>
      </c>
      <c r="C268" s="158"/>
      <c r="D268" s="301" t="s">
        <v>196</v>
      </c>
      <c r="E268" s="158"/>
      <c r="F268" s="299"/>
      <c r="G268" s="158"/>
      <c r="H268" s="300"/>
      <c r="I268" s="56"/>
      <c r="J268" s="56"/>
      <c r="K268" s="8"/>
      <c r="L268" s="8"/>
      <c r="M268" s="8"/>
      <c r="N268" s="8"/>
    </row>
    <row r="269" spans="1:14">
      <c r="A269" s="48"/>
      <c r="B269" s="43"/>
      <c r="C269" s="43"/>
      <c r="D269" s="8"/>
      <c r="E269" s="49"/>
      <c r="F269" s="46"/>
      <c r="G269" s="46"/>
      <c r="H269" s="46"/>
      <c r="I269" s="46"/>
      <c r="J269" s="46"/>
      <c r="K269" s="8"/>
      <c r="L269" s="8"/>
      <c r="M269" s="8"/>
      <c r="N269" s="8"/>
    </row>
    <row r="270" spans="1:14">
      <c r="A270" s="48"/>
      <c r="B270" s="8"/>
      <c r="C270" s="43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>
      <c r="A271" s="8"/>
      <c r="B271" s="8"/>
      <c r="C271" s="43"/>
      <c r="D271" s="8"/>
      <c r="E271" s="45"/>
      <c r="F271" s="45"/>
      <c r="G271" s="8"/>
      <c r="H271" s="8"/>
      <c r="I271" s="8"/>
      <c r="J271" s="8"/>
      <c r="K271" s="8"/>
      <c r="L271" s="8"/>
      <c r="M271" s="8"/>
      <c r="N271" s="8"/>
    </row>
    <row r="272" spans="1:14">
      <c r="A272" s="8"/>
      <c r="B272" s="8"/>
      <c r="C272" s="8"/>
      <c r="D272" s="8"/>
      <c r="E272" s="45"/>
      <c r="F272" s="8"/>
      <c r="G272" s="8"/>
      <c r="H272" s="8"/>
      <c r="I272" s="8"/>
      <c r="J272" s="8"/>
      <c r="K272" s="8"/>
      <c r="L272" s="8"/>
      <c r="M272" s="8"/>
      <c r="N272" s="8"/>
    </row>
    <row r="273" spans="1:1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</sheetData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Q64"/>
  <sheetViews>
    <sheetView tabSelected="1" topLeftCell="A8" workbookViewId="0">
      <selection activeCell="G9" sqref="G9"/>
    </sheetView>
  </sheetViews>
  <sheetFormatPr baseColWidth="10" defaultRowHeight="15.75"/>
  <cols>
    <col min="2" max="2" width="32.125" customWidth="1"/>
    <col min="3" max="3" width="20.125" customWidth="1"/>
    <col min="4" max="4" width="13" customWidth="1"/>
    <col min="5" max="5" width="11.875" customWidth="1"/>
    <col min="6" max="6" width="11.625" customWidth="1"/>
    <col min="7" max="7" width="35.125" customWidth="1"/>
    <col min="8" max="8" width="17" customWidth="1"/>
    <col min="9" max="13" width="11.375" bestFit="1" customWidth="1"/>
  </cols>
  <sheetData>
    <row r="1" spans="1:17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6.5" thickBot="1">
      <c r="A5" s="8"/>
      <c r="B5" s="51" t="s">
        <v>65</v>
      </c>
      <c r="C5" s="5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>
      <c r="A6" s="8"/>
      <c r="B6" s="29" t="s">
        <v>5</v>
      </c>
      <c r="C6" s="40" t="s">
        <v>174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8"/>
      <c r="B7" s="22" t="s">
        <v>7</v>
      </c>
      <c r="C7" s="9">
        <v>25000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8"/>
      <c r="B8" s="22" t="s">
        <v>8</v>
      </c>
      <c r="C8" s="9">
        <v>15000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8"/>
      <c r="B9" s="22" t="s">
        <v>66</v>
      </c>
      <c r="C9" s="9">
        <v>3000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8"/>
      <c r="B10" s="22" t="s">
        <v>11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6.5" thickBot="1">
      <c r="A11" s="8"/>
      <c r="B11" s="23" t="s">
        <v>11</v>
      </c>
      <c r="C11" s="3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6.5" thickBot="1">
      <c r="A12" s="8"/>
      <c r="B12" s="24" t="s">
        <v>10</v>
      </c>
      <c r="C12" s="1">
        <f>+C7+C8+F36+C9+C10+C11</f>
        <v>43000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6.5" thickBo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16.5" thickBot="1">
      <c r="A15" s="8"/>
      <c r="B15" s="10" t="s">
        <v>5</v>
      </c>
      <c r="C15" s="11" t="s">
        <v>175</v>
      </c>
      <c r="D15" s="11" t="s">
        <v>171</v>
      </c>
      <c r="E15" s="11" t="s">
        <v>162</v>
      </c>
      <c r="F15" s="11" t="s">
        <v>163</v>
      </c>
      <c r="G15" s="33" t="s">
        <v>164</v>
      </c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8"/>
      <c r="B16" s="28" t="s">
        <v>7</v>
      </c>
      <c r="C16" s="2">
        <v>25000</v>
      </c>
      <c r="D16" s="2" t="s">
        <v>11</v>
      </c>
      <c r="E16" s="3">
        <v>5000</v>
      </c>
      <c r="F16" s="34" t="s">
        <v>11</v>
      </c>
      <c r="G16" s="35">
        <v>5000</v>
      </c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8"/>
      <c r="B17" s="28" t="s">
        <v>8</v>
      </c>
      <c r="C17" s="2">
        <v>15000</v>
      </c>
      <c r="D17" s="2" t="s">
        <v>11</v>
      </c>
      <c r="E17" s="3">
        <v>10000</v>
      </c>
      <c r="F17" s="34" t="s">
        <v>11</v>
      </c>
      <c r="G17" s="4">
        <v>10000</v>
      </c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6.5" thickBot="1">
      <c r="A18" s="8"/>
      <c r="B18" s="28" t="s">
        <v>176</v>
      </c>
      <c r="C18" s="2">
        <v>3000</v>
      </c>
      <c r="D18" s="2"/>
      <c r="E18" s="3"/>
      <c r="F18" s="34"/>
      <c r="G18" s="4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6.5" thickBot="1">
      <c r="A19" s="8"/>
      <c r="B19" s="36" t="s">
        <v>10</v>
      </c>
      <c r="C19" s="37">
        <f>SUM(C16:C18)</f>
        <v>43000</v>
      </c>
      <c r="D19" s="37">
        <f>SUM(D16:D17)</f>
        <v>0</v>
      </c>
      <c r="E19" s="37">
        <f t="shared" ref="E19:G19" si="0">SUM(E16:E17)</f>
        <v>15000</v>
      </c>
      <c r="F19" s="37">
        <f t="shared" si="0"/>
        <v>0</v>
      </c>
      <c r="G19" s="38">
        <f t="shared" si="0"/>
        <v>15000</v>
      </c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16.5" thickBot="1">
      <c r="A20" s="8"/>
      <c r="B20" s="8"/>
      <c r="C20" s="25"/>
      <c r="D20" s="25"/>
      <c r="E20" s="25"/>
      <c r="F20" s="25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6.5" thickBot="1">
      <c r="A21" s="8"/>
      <c r="B21" s="36" t="s">
        <v>170</v>
      </c>
      <c r="C21" s="27">
        <f>+C30+D19+E19+F19+G19+C19</f>
        <v>77400</v>
      </c>
      <c r="D21" s="25"/>
      <c r="E21" s="25"/>
      <c r="F21" s="25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6.5" thickBot="1">
      <c r="A24" s="8"/>
      <c r="B24" s="26" t="s">
        <v>67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16.5" thickBot="1">
      <c r="A25" s="8"/>
      <c r="B25" s="10"/>
      <c r="C25" s="11" t="s">
        <v>14</v>
      </c>
      <c r="D25" s="12"/>
      <c r="E25" s="13"/>
      <c r="F25" s="8"/>
      <c r="G25" s="86" t="s">
        <v>68</v>
      </c>
      <c r="H25" s="56"/>
      <c r="I25" s="56"/>
      <c r="J25" s="56"/>
      <c r="K25" s="56"/>
      <c r="L25" s="56"/>
      <c r="M25" s="56"/>
      <c r="N25" s="8"/>
      <c r="O25" s="8"/>
      <c r="P25" s="8"/>
      <c r="Q25" s="8"/>
    </row>
    <row r="26" spans="1:17" ht="16.5" thickBot="1">
      <c r="A26" s="8"/>
      <c r="B26" s="14" t="s">
        <v>58</v>
      </c>
      <c r="C26" s="15" t="s">
        <v>10</v>
      </c>
      <c r="D26" s="15" t="s">
        <v>63</v>
      </c>
      <c r="E26" s="16" t="s">
        <v>64</v>
      </c>
      <c r="F26" s="8"/>
      <c r="G26" s="81" t="s">
        <v>70</v>
      </c>
      <c r="H26" s="83" t="s">
        <v>71</v>
      </c>
      <c r="I26" s="83" t="s">
        <v>14</v>
      </c>
      <c r="J26" s="83" t="s">
        <v>15</v>
      </c>
      <c r="K26" s="83" t="s">
        <v>16</v>
      </c>
      <c r="L26" s="83" t="s">
        <v>17</v>
      </c>
      <c r="M26" s="317" t="s">
        <v>18</v>
      </c>
      <c r="N26" s="8"/>
      <c r="O26" s="8"/>
      <c r="P26" s="8"/>
      <c r="Q26" s="8"/>
    </row>
    <row r="27" spans="1:17">
      <c r="A27" s="8"/>
      <c r="B27" s="17" t="s">
        <v>59</v>
      </c>
      <c r="C27" s="6">
        <v>400</v>
      </c>
      <c r="D27" s="6">
        <v>400</v>
      </c>
      <c r="E27" s="19" t="s">
        <v>11</v>
      </c>
      <c r="F27" s="7"/>
      <c r="G27" s="318" t="s">
        <v>180</v>
      </c>
      <c r="H27" s="319"/>
      <c r="I27" s="320">
        <f>+C17</f>
        <v>15000</v>
      </c>
      <c r="J27" s="320">
        <f>+I27</f>
        <v>15000</v>
      </c>
      <c r="K27" s="321">
        <f>+J27+E17</f>
        <v>25000</v>
      </c>
      <c r="L27" s="321">
        <f>+K27</f>
        <v>25000</v>
      </c>
      <c r="M27" s="322">
        <f>+L27+G17</f>
        <v>35000</v>
      </c>
      <c r="N27" s="8"/>
      <c r="O27" s="8"/>
      <c r="P27" s="8"/>
      <c r="Q27" s="8"/>
    </row>
    <row r="28" spans="1:17">
      <c r="A28" s="8"/>
      <c r="B28" s="17" t="s">
        <v>60</v>
      </c>
      <c r="C28" s="6">
        <v>3000</v>
      </c>
      <c r="D28" s="6">
        <v>3000</v>
      </c>
      <c r="E28" s="19" t="s">
        <v>11</v>
      </c>
      <c r="F28" s="7"/>
      <c r="G28" s="200" t="s">
        <v>181</v>
      </c>
      <c r="H28" s="323">
        <v>36</v>
      </c>
      <c r="I28" s="62">
        <f>+$C$8/3</f>
        <v>5000</v>
      </c>
      <c r="J28" s="62">
        <f t="shared" ref="J28" si="1">+$C$8/3</f>
        <v>5000</v>
      </c>
      <c r="K28" s="62">
        <f>+($C$8/3)+($E$17/3)</f>
        <v>8333.3333333333339</v>
      </c>
      <c r="L28" s="62">
        <f>+($E$17/3)</f>
        <v>3333.3333333333335</v>
      </c>
      <c r="M28" s="63">
        <f>+($E$17/3)+(G17/3)</f>
        <v>6666.666666666667</v>
      </c>
      <c r="N28" s="8"/>
      <c r="O28" s="8"/>
      <c r="P28" s="8"/>
      <c r="Q28" s="8"/>
    </row>
    <row r="29" spans="1:17" ht="16.5" thickBot="1">
      <c r="A29" s="8"/>
      <c r="B29" s="17" t="s">
        <v>61</v>
      </c>
      <c r="C29" s="6">
        <v>1000</v>
      </c>
      <c r="D29" s="6">
        <v>1000</v>
      </c>
      <c r="E29" s="19" t="s">
        <v>11</v>
      </c>
      <c r="F29" s="7"/>
      <c r="G29" s="202" t="s">
        <v>69</v>
      </c>
      <c r="H29" s="324"/>
      <c r="I29" s="320">
        <v>3000</v>
      </c>
      <c r="J29" s="320">
        <v>3000</v>
      </c>
      <c r="K29" s="320">
        <v>3000</v>
      </c>
      <c r="L29" s="320">
        <v>3000</v>
      </c>
      <c r="M29" s="325">
        <v>3000</v>
      </c>
      <c r="N29" s="8"/>
      <c r="O29" s="8"/>
      <c r="P29" s="8"/>
      <c r="Q29" s="8"/>
    </row>
    <row r="30" spans="1:17" ht="16.5" thickBot="1">
      <c r="A30" s="8"/>
      <c r="B30" s="18" t="s">
        <v>62</v>
      </c>
      <c r="C30" s="20">
        <f>SUM(C27:C29)</f>
        <v>4400</v>
      </c>
      <c r="D30" s="20">
        <f>SUM(C30)</f>
        <v>4400</v>
      </c>
      <c r="E30" s="21" t="s">
        <v>11</v>
      </c>
      <c r="F30" s="7"/>
      <c r="G30" s="200" t="s">
        <v>182</v>
      </c>
      <c r="H30" s="326">
        <v>120</v>
      </c>
      <c r="I30" s="62">
        <f>+$C$9/10</f>
        <v>300</v>
      </c>
      <c r="J30" s="62">
        <f t="shared" ref="J30:M30" si="2">+$C$9/10</f>
        <v>300</v>
      </c>
      <c r="K30" s="62">
        <f t="shared" si="2"/>
        <v>300</v>
      </c>
      <c r="L30" s="62">
        <f t="shared" si="2"/>
        <v>300</v>
      </c>
      <c r="M30" s="63">
        <f t="shared" si="2"/>
        <v>300</v>
      </c>
      <c r="N30" s="8"/>
      <c r="O30" s="8"/>
      <c r="P30" s="8"/>
      <c r="Q30" s="8"/>
    </row>
    <row r="31" spans="1:17" ht="16.5" thickBot="1">
      <c r="A31" s="8"/>
      <c r="B31" s="8"/>
      <c r="C31" s="8"/>
      <c r="D31" s="8"/>
      <c r="E31" s="8"/>
      <c r="F31" s="7"/>
      <c r="G31" s="314" t="s">
        <v>190</v>
      </c>
      <c r="H31" s="314"/>
      <c r="I31" s="327">
        <f>I30+I28</f>
        <v>5300</v>
      </c>
      <c r="J31" s="327">
        <f t="shared" ref="J31:M31" si="3">J30+J28</f>
        <v>5300</v>
      </c>
      <c r="K31" s="327">
        <f t="shared" si="3"/>
        <v>8633.3333333333339</v>
      </c>
      <c r="L31" s="327">
        <f t="shared" si="3"/>
        <v>3633.3333333333335</v>
      </c>
      <c r="M31" s="328">
        <f t="shared" si="3"/>
        <v>6966.666666666667</v>
      </c>
      <c r="N31" s="8"/>
      <c r="O31" s="8"/>
      <c r="P31" s="8"/>
      <c r="Q31" s="8"/>
    </row>
    <row r="32" spans="1:17">
      <c r="A32" s="8"/>
      <c r="B32" s="8"/>
      <c r="C32" s="8"/>
      <c r="D32" s="8"/>
      <c r="E32" s="8"/>
      <c r="F32" s="7"/>
      <c r="G32" s="56"/>
      <c r="H32" s="56"/>
      <c r="I32" s="56"/>
      <c r="J32" s="56"/>
      <c r="K32" s="88"/>
      <c r="L32" s="88"/>
      <c r="M32" s="127"/>
      <c r="N32" s="8"/>
      <c r="O32" s="8"/>
      <c r="P32" s="8"/>
      <c r="Q32" s="8"/>
    </row>
    <row r="33" spans="1:17" ht="16.5" thickBot="1">
      <c r="A33" s="8"/>
      <c r="B33" s="86" t="s">
        <v>72</v>
      </c>
      <c r="C33" s="56"/>
      <c r="D33" s="56"/>
      <c r="E33" s="8"/>
      <c r="F33" s="7"/>
      <c r="G33" s="86" t="s">
        <v>172</v>
      </c>
      <c r="H33" s="56"/>
      <c r="I33" s="56"/>
      <c r="J33" s="56"/>
      <c r="K33" s="88"/>
      <c r="L33" s="88"/>
      <c r="M33" s="127"/>
      <c r="N33" s="8"/>
      <c r="O33" s="8"/>
      <c r="P33" s="8"/>
      <c r="Q33" s="8"/>
    </row>
    <row r="34" spans="1:17" ht="16.5" thickBot="1">
      <c r="A34" s="8"/>
      <c r="B34" s="309" t="s">
        <v>74</v>
      </c>
      <c r="C34" s="310" t="s">
        <v>75</v>
      </c>
      <c r="D34" s="311" t="s">
        <v>14</v>
      </c>
      <c r="E34" s="8"/>
      <c r="F34" s="7"/>
      <c r="G34" s="329" t="s">
        <v>70</v>
      </c>
      <c r="H34" s="83" t="s">
        <v>173</v>
      </c>
      <c r="I34" s="83" t="s">
        <v>14</v>
      </c>
      <c r="J34" s="83" t="s">
        <v>15</v>
      </c>
      <c r="K34" s="83" t="s">
        <v>16</v>
      </c>
      <c r="L34" s="83" t="s">
        <v>17</v>
      </c>
      <c r="M34" s="317" t="s">
        <v>18</v>
      </c>
      <c r="N34" s="8"/>
      <c r="O34" s="8"/>
      <c r="P34" s="8"/>
      <c r="Q34" s="8"/>
    </row>
    <row r="35" spans="1:17">
      <c r="A35" s="8"/>
      <c r="B35" s="106" t="s">
        <v>73</v>
      </c>
      <c r="C35" s="312">
        <f>+D35/D38</f>
        <v>9.2827004219409287E-2</v>
      </c>
      <c r="D35" s="63">
        <f>+C30</f>
        <v>4400</v>
      </c>
      <c r="E35" s="8"/>
      <c r="F35" s="8"/>
      <c r="G35" s="318" t="s">
        <v>143</v>
      </c>
      <c r="H35" s="320">
        <v>25000</v>
      </c>
      <c r="I35" s="320">
        <v>25000</v>
      </c>
      <c r="J35" s="320">
        <v>25000</v>
      </c>
      <c r="K35" s="320">
        <v>30000</v>
      </c>
      <c r="L35" s="320">
        <v>30000</v>
      </c>
      <c r="M35" s="325">
        <v>35000</v>
      </c>
      <c r="N35" s="8"/>
      <c r="O35" s="8"/>
      <c r="P35" s="8"/>
      <c r="Q35" s="8"/>
    </row>
    <row r="36" spans="1:17" ht="16.5" thickBot="1">
      <c r="A36" s="8"/>
      <c r="B36" s="106" t="s">
        <v>78</v>
      </c>
      <c r="C36" s="312">
        <f>+D36/D38</f>
        <v>0.90717299578059074</v>
      </c>
      <c r="D36" s="69">
        <f>+C12-D37</f>
        <v>43000</v>
      </c>
      <c r="E36" s="8"/>
      <c r="F36" s="8"/>
      <c r="G36" s="200" t="s">
        <v>138</v>
      </c>
      <c r="H36" s="62"/>
      <c r="I36" s="62">
        <f>I35/5</f>
        <v>5000</v>
      </c>
      <c r="J36" s="62">
        <f>J35/5</f>
        <v>5000</v>
      </c>
      <c r="K36" s="62">
        <f>+($J$35/5)+($E$16/5)</f>
        <v>6000</v>
      </c>
      <c r="L36" s="62">
        <f>+($J$35/5)+($E$16/5)</f>
        <v>6000</v>
      </c>
      <c r="M36" s="63">
        <f>+($J$35/5)+($E$16/5)+(G16/5)</f>
        <v>7000</v>
      </c>
      <c r="N36" s="8"/>
      <c r="O36" s="8"/>
      <c r="P36" s="8"/>
      <c r="Q36" s="8"/>
    </row>
    <row r="37" spans="1:17" ht="16.5" thickBot="1">
      <c r="A37" s="8"/>
      <c r="B37" s="106" t="s">
        <v>76</v>
      </c>
      <c r="C37" s="313">
        <v>0</v>
      </c>
      <c r="D37" s="63">
        <v>0</v>
      </c>
      <c r="E37" s="8"/>
      <c r="F37" s="8"/>
      <c r="G37" s="314" t="s">
        <v>10</v>
      </c>
      <c r="H37" s="330"/>
      <c r="I37" s="330">
        <f>+I36</f>
        <v>5000</v>
      </c>
      <c r="J37" s="330">
        <f t="shared" ref="J37:L37" si="4">+J36</f>
        <v>5000</v>
      </c>
      <c r="K37" s="330">
        <f t="shared" si="4"/>
        <v>6000</v>
      </c>
      <c r="L37" s="330">
        <f t="shared" si="4"/>
        <v>6000</v>
      </c>
      <c r="M37" s="331">
        <f>+M36</f>
        <v>7000</v>
      </c>
      <c r="N37" s="8"/>
      <c r="O37" s="8"/>
      <c r="P37" s="8"/>
      <c r="Q37" s="8"/>
    </row>
    <row r="38" spans="1:17" ht="16.5" thickBot="1">
      <c r="A38" s="8"/>
      <c r="B38" s="314" t="s">
        <v>77</v>
      </c>
      <c r="C38" s="315"/>
      <c r="D38" s="316">
        <f>+D37+D36+D35</f>
        <v>47400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>
      <c r="A39" s="8"/>
      <c r="B39" s="8"/>
      <c r="C39" s="8"/>
      <c r="D39" s="8"/>
      <c r="E39" s="8"/>
      <c r="F39" s="8"/>
      <c r="G39" s="8"/>
      <c r="H39" s="8"/>
      <c r="I39" s="8"/>
      <c r="J39" s="42"/>
      <c r="K39" s="42"/>
      <c r="L39" s="8"/>
      <c r="M39" s="8"/>
      <c r="N39" s="8"/>
      <c r="O39" s="8"/>
      <c r="P39" s="8"/>
      <c r="Q39" s="8"/>
    </row>
    <row r="40" spans="1:1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</sheetData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Análisis Financiero</vt:lpstr>
      <vt:lpstr>Inversiones, Deprec., Amort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Diaz</dc:creator>
  <cp:lastModifiedBy>Admin</cp:lastModifiedBy>
  <cp:lastPrinted>2011-12-19T13:27:27Z</cp:lastPrinted>
  <dcterms:created xsi:type="dcterms:W3CDTF">2011-09-09T15:21:36Z</dcterms:created>
  <dcterms:modified xsi:type="dcterms:W3CDTF">2013-01-07T20:50:30Z</dcterms:modified>
</cp:coreProperties>
</file>