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50" windowWidth="20730" windowHeight="10485" tabRatio="901"/>
  </bookViews>
  <sheets>
    <sheet name="ESTADOS FINANCIEROS" sheetId="15" r:id="rId1"/>
    <sheet name="PRESTAMO" sheetId="2" r:id="rId2"/>
    <sheet name="PRESUPUESTO MARKETING" sheetId="3" r:id="rId3"/>
    <sheet name="PRECIOS" sheetId="13" r:id="rId4"/>
    <sheet name="ASIENTOS CONTABLES" sheetId="14" r:id="rId5"/>
    <sheet name="MAYORIZACIÓN" sheetId="16" r:id="rId6"/>
    <sheet name="IMPORTACIÓN" sheetId="17" r:id="rId7"/>
    <sheet name="PUNTO DE EQUILIBRIO" sheetId="18" r:id="rId8"/>
    <sheet name="Hoja1" sheetId="19" r:id="rId9"/>
  </sheets>
  <calcPr calcId="125725"/>
</workbook>
</file>

<file path=xl/calcChain.xml><?xml version="1.0" encoding="utf-8"?>
<calcChain xmlns="http://schemas.openxmlformats.org/spreadsheetml/2006/main">
  <c r="M160" i="15"/>
  <c r="E23" i="18"/>
  <c r="F23"/>
  <c r="F27" s="1"/>
  <c r="G23"/>
  <c r="H23"/>
  <c r="D23"/>
  <c r="D27" s="1"/>
  <c r="E36"/>
  <c r="F36"/>
  <c r="G36"/>
  <c r="H36"/>
  <c r="D36"/>
  <c r="D40" s="1"/>
  <c r="E49"/>
  <c r="F49"/>
  <c r="G49"/>
  <c r="H49"/>
  <c r="D49"/>
  <c r="E62"/>
  <c r="F62"/>
  <c r="G62"/>
  <c r="H62"/>
  <c r="D62"/>
  <c r="E75"/>
  <c r="F75"/>
  <c r="G75"/>
  <c r="H75"/>
  <c r="D75"/>
  <c r="E88"/>
  <c r="F88"/>
  <c r="G88"/>
  <c r="H88"/>
  <c r="D88"/>
  <c r="E101"/>
  <c r="F101"/>
  <c r="G101"/>
  <c r="H101"/>
  <c r="D101"/>
  <c r="E102"/>
  <c r="F102"/>
  <c r="G102"/>
  <c r="H102"/>
  <c r="D102"/>
  <c r="E89"/>
  <c r="F89"/>
  <c r="G89"/>
  <c r="H89"/>
  <c r="D89"/>
  <c r="E76"/>
  <c r="F76"/>
  <c r="G76"/>
  <c r="H76"/>
  <c r="D76"/>
  <c r="I100"/>
  <c r="H100"/>
  <c r="G100"/>
  <c r="F100"/>
  <c r="E100"/>
  <c r="D100"/>
  <c r="I87"/>
  <c r="H87"/>
  <c r="G87"/>
  <c r="F87"/>
  <c r="F92" s="1"/>
  <c r="E87"/>
  <c r="D87"/>
  <c r="I74"/>
  <c r="H74"/>
  <c r="G74"/>
  <c r="F74"/>
  <c r="F79" s="1"/>
  <c r="E74"/>
  <c r="D74"/>
  <c r="E63"/>
  <c r="F63"/>
  <c r="G63"/>
  <c r="H63"/>
  <c r="D63"/>
  <c r="I61"/>
  <c r="H61"/>
  <c r="G61"/>
  <c r="F61"/>
  <c r="E61"/>
  <c r="D61"/>
  <c r="E50"/>
  <c r="F50"/>
  <c r="G50"/>
  <c r="H50"/>
  <c r="D50"/>
  <c r="H48"/>
  <c r="G48"/>
  <c r="I48" s="1"/>
  <c r="F48"/>
  <c r="E48"/>
  <c r="D48"/>
  <c r="E37"/>
  <c r="F37"/>
  <c r="G37"/>
  <c r="H37"/>
  <c r="D37"/>
  <c r="D35"/>
  <c r="I35"/>
  <c r="H35"/>
  <c r="G35"/>
  <c r="F35"/>
  <c r="F40" s="1"/>
  <c r="E35"/>
  <c r="E24"/>
  <c r="F24"/>
  <c r="G24"/>
  <c r="H24"/>
  <c r="D24"/>
  <c r="E22"/>
  <c r="F22"/>
  <c r="G22"/>
  <c r="G27" s="1"/>
  <c r="H22"/>
  <c r="H27" s="1"/>
  <c r="D22"/>
  <c r="H15"/>
  <c r="G15"/>
  <c r="F15"/>
  <c r="E15"/>
  <c r="D15"/>
  <c r="I14"/>
  <c r="E14"/>
  <c r="F14"/>
  <c r="G14"/>
  <c r="H14"/>
  <c r="D14"/>
  <c r="E11"/>
  <c r="F11"/>
  <c r="G11"/>
  <c r="H11"/>
  <c r="D11"/>
  <c r="I9"/>
  <c r="R146"/>
  <c r="R152" s="1"/>
  <c r="R158" s="1"/>
  <c r="R164" s="1"/>
  <c r="R170" s="1"/>
  <c r="R176" s="1"/>
  <c r="Q146"/>
  <c r="Q152" s="1"/>
  <c r="Q158" s="1"/>
  <c r="Q164" s="1"/>
  <c r="Q170" s="1"/>
  <c r="Q176" s="1"/>
  <c r="P146"/>
  <c r="P152" s="1"/>
  <c r="P158" s="1"/>
  <c r="P164" s="1"/>
  <c r="P170" s="1"/>
  <c r="P176" s="1"/>
  <c r="O146"/>
  <c r="O152" s="1"/>
  <c r="O158" s="1"/>
  <c r="O164" s="1"/>
  <c r="O170" s="1"/>
  <c r="O176" s="1"/>
  <c r="N146"/>
  <c r="N152" s="1"/>
  <c r="N158" s="1"/>
  <c r="N164" s="1"/>
  <c r="N170" s="1"/>
  <c r="N176" s="1"/>
  <c r="I139"/>
  <c r="I145" s="1"/>
  <c r="H139"/>
  <c r="Q139" s="1"/>
  <c r="Q141" s="1"/>
  <c r="G139"/>
  <c r="G141" s="1"/>
  <c r="F139"/>
  <c r="F141" s="1"/>
  <c r="E139"/>
  <c r="E145" s="1"/>
  <c r="E147" s="1"/>
  <c r="I135"/>
  <c r="H135"/>
  <c r="G135"/>
  <c r="F135"/>
  <c r="E135"/>
  <c r="R133"/>
  <c r="R135" s="1"/>
  <c r="Q133"/>
  <c r="Q135" s="1"/>
  <c r="P133"/>
  <c r="P135" s="1"/>
  <c r="O133"/>
  <c r="O135" s="1"/>
  <c r="N133"/>
  <c r="N135" s="1"/>
  <c r="J133"/>
  <c r="E27" l="1"/>
  <c r="I27" s="1"/>
  <c r="F28" s="1"/>
  <c r="E40"/>
  <c r="E53"/>
  <c r="D53"/>
  <c r="F66"/>
  <c r="E66"/>
  <c r="D66"/>
  <c r="E79"/>
  <c r="D79"/>
  <c r="E92"/>
  <c r="D92"/>
  <c r="F105"/>
  <c r="E105"/>
  <c r="D105"/>
  <c r="H105"/>
  <c r="G105"/>
  <c r="H92"/>
  <c r="G92"/>
  <c r="H79"/>
  <c r="G79"/>
  <c r="H66"/>
  <c r="G66"/>
  <c r="H53"/>
  <c r="G53"/>
  <c r="F53"/>
  <c r="I40"/>
  <c r="E41" s="1"/>
  <c r="H40"/>
  <c r="G40"/>
  <c r="I22"/>
  <c r="J135"/>
  <c r="F145"/>
  <c r="F147" s="1"/>
  <c r="J139"/>
  <c r="H145"/>
  <c r="Q145" s="1"/>
  <c r="Q147" s="1"/>
  <c r="G145"/>
  <c r="G147" s="1"/>
  <c r="I147"/>
  <c r="R145"/>
  <c r="R147" s="1"/>
  <c r="I151"/>
  <c r="I141"/>
  <c r="H141"/>
  <c r="G151"/>
  <c r="P139"/>
  <c r="P141" s="1"/>
  <c r="O139"/>
  <c r="O141" s="1"/>
  <c r="N145"/>
  <c r="N147" s="1"/>
  <c r="E151"/>
  <c r="R139"/>
  <c r="R141" s="1"/>
  <c r="N139"/>
  <c r="N141" s="1"/>
  <c r="E141"/>
  <c r="E28" l="1"/>
  <c r="D28"/>
  <c r="D41"/>
  <c r="I53"/>
  <c r="E54" s="1"/>
  <c r="I66"/>
  <c r="E67" s="1"/>
  <c r="I79"/>
  <c r="E80" s="1"/>
  <c r="I92"/>
  <c r="E93" s="1"/>
  <c r="I105"/>
  <c r="E106" s="1"/>
  <c r="H106"/>
  <c r="H93"/>
  <c r="F67"/>
  <c r="F41"/>
  <c r="H41"/>
  <c r="G41"/>
  <c r="H28"/>
  <c r="G28"/>
  <c r="H151"/>
  <c r="Q151" s="1"/>
  <c r="Q153" s="1"/>
  <c r="H147"/>
  <c r="J147" s="1"/>
  <c r="J145"/>
  <c r="P145"/>
  <c r="P147" s="1"/>
  <c r="O145"/>
  <c r="O147" s="1"/>
  <c r="F151"/>
  <c r="E157"/>
  <c r="N151"/>
  <c r="N153" s="1"/>
  <c r="E153"/>
  <c r="I153"/>
  <c r="R151"/>
  <c r="R153" s="1"/>
  <c r="I157"/>
  <c r="G157"/>
  <c r="P151"/>
  <c r="P153" s="1"/>
  <c r="G153"/>
  <c r="J141"/>
  <c r="H153"/>
  <c r="D54" l="1"/>
  <c r="H54"/>
  <c r="G54"/>
  <c r="F54"/>
  <c r="H67"/>
  <c r="D67"/>
  <c r="G67"/>
  <c r="H80"/>
  <c r="D80"/>
  <c r="G80"/>
  <c r="F80"/>
  <c r="G93"/>
  <c r="D93"/>
  <c r="F93"/>
  <c r="G106"/>
  <c r="D106"/>
  <c r="F106"/>
  <c r="H157"/>
  <c r="H159" s="1"/>
  <c r="J151"/>
  <c r="F153"/>
  <c r="J153" s="1"/>
  <c r="O151"/>
  <c r="O153" s="1"/>
  <c r="F157"/>
  <c r="E159"/>
  <c r="E163"/>
  <c r="N157"/>
  <c r="N159" s="1"/>
  <c r="H163"/>
  <c r="I163"/>
  <c r="R157"/>
  <c r="R159" s="1"/>
  <c r="I159"/>
  <c r="G163"/>
  <c r="P157"/>
  <c r="P159" s="1"/>
  <c r="G159"/>
  <c r="Q157" l="1"/>
  <c r="Q159" s="1"/>
  <c r="J157"/>
  <c r="F163"/>
  <c r="F165" s="1"/>
  <c r="O157"/>
  <c r="O159" s="1"/>
  <c r="F159"/>
  <c r="E165"/>
  <c r="E169"/>
  <c r="N163"/>
  <c r="N165" s="1"/>
  <c r="I169"/>
  <c r="R163"/>
  <c r="R165" s="1"/>
  <c r="I165"/>
  <c r="Q163"/>
  <c r="Q165" s="1"/>
  <c r="H165"/>
  <c r="H169"/>
  <c r="G165"/>
  <c r="G169"/>
  <c r="P163"/>
  <c r="P165" s="1"/>
  <c r="J163" l="1"/>
  <c r="J159"/>
  <c r="F169"/>
  <c r="O169" s="1"/>
  <c r="O171" s="1"/>
  <c r="O163"/>
  <c r="O165" s="1"/>
  <c r="G171"/>
  <c r="G175"/>
  <c r="P169"/>
  <c r="P171" s="1"/>
  <c r="I171"/>
  <c r="R169"/>
  <c r="R171" s="1"/>
  <c r="I175"/>
  <c r="F171"/>
  <c r="J165"/>
  <c r="H171"/>
  <c r="H175"/>
  <c r="Q169"/>
  <c r="Q171" s="1"/>
  <c r="E171"/>
  <c r="E175"/>
  <c r="N169"/>
  <c r="N171" s="1"/>
  <c r="J169" l="1"/>
  <c r="F175"/>
  <c r="F177" s="1"/>
  <c r="N175"/>
  <c r="N177" s="1"/>
  <c r="E177"/>
  <c r="P175"/>
  <c r="P177" s="1"/>
  <c r="G177"/>
  <c r="H177"/>
  <c r="Q175"/>
  <c r="Q177" s="1"/>
  <c r="I177"/>
  <c r="R175"/>
  <c r="R177" s="1"/>
  <c r="J171"/>
  <c r="J175" l="1"/>
  <c r="O175"/>
  <c r="O177" s="1"/>
  <c r="J177"/>
  <c r="E5" i="14" l="1"/>
  <c r="C91" i="15"/>
  <c r="AI10" i="3" l="1"/>
  <c r="AH10"/>
  <c r="AG10"/>
  <c r="AF10"/>
  <c r="AE10"/>
  <c r="AD10"/>
  <c r="AC10"/>
  <c r="E19"/>
  <c r="E20" s="1"/>
  <c r="AB10" s="1"/>
  <c r="C92" i="15"/>
  <c r="C95"/>
  <c r="C94"/>
  <c r="D82" i="16"/>
  <c r="D81"/>
  <c r="D73"/>
  <c r="D72"/>
  <c r="D27"/>
  <c r="C22"/>
  <c r="E21"/>
  <c r="H95" i="14"/>
  <c r="E95"/>
  <c r="H76"/>
  <c r="E76"/>
  <c r="Z72"/>
  <c r="W72"/>
  <c r="T72"/>
  <c r="Q72"/>
  <c r="N72"/>
  <c r="K72"/>
  <c r="H72"/>
  <c r="E72"/>
  <c r="E51"/>
  <c r="D49"/>
  <c r="Z16"/>
  <c r="W16"/>
  <c r="T16"/>
  <c r="Q16"/>
  <c r="N16"/>
  <c r="K16"/>
  <c r="H16"/>
  <c r="E16"/>
  <c r="S10"/>
  <c r="T11" s="1"/>
  <c r="D63" i="16" s="1"/>
  <c r="P10" i="14"/>
  <c r="Q11" s="1"/>
  <c r="D54" i="16" s="1"/>
  <c r="M10" i="14"/>
  <c r="N11" s="1"/>
  <c r="D45" i="16" s="1"/>
  <c r="J10" i="14"/>
  <c r="K11" s="1"/>
  <c r="D37" i="16" s="1"/>
  <c r="G10" i="14"/>
  <c r="H11" s="1"/>
  <c r="D29" i="16" s="1"/>
  <c r="D10" i="14"/>
  <c r="E11" s="1"/>
  <c r="D22" i="16" s="1"/>
  <c r="S9" i="14"/>
  <c r="T12" s="1"/>
  <c r="D64" i="16" s="1"/>
  <c r="P9" i="14"/>
  <c r="Q12" s="1"/>
  <c r="D55" i="16" s="1"/>
  <c r="M9" i="14"/>
  <c r="N12" s="1"/>
  <c r="D46" i="16" s="1"/>
  <c r="J9" i="14"/>
  <c r="K12" s="1"/>
  <c r="D38" i="16" s="1"/>
  <c r="G9" i="14"/>
  <c r="H12" s="1"/>
  <c r="D30" i="16" s="1"/>
  <c r="D9" i="14"/>
  <c r="E12" s="1"/>
  <c r="D23" i="16" s="1"/>
  <c r="Z5" i="14"/>
  <c r="W5"/>
  <c r="T5"/>
  <c r="Q5"/>
  <c r="N5"/>
  <c r="K5"/>
  <c r="H5"/>
  <c r="E22" i="16" l="1"/>
  <c r="C204" i="15"/>
  <c r="G201"/>
  <c r="F201"/>
  <c r="E201"/>
  <c r="C201"/>
  <c r="D201"/>
  <c r="W130"/>
  <c r="V130"/>
  <c r="U130"/>
  <c r="T130"/>
  <c r="S130"/>
  <c r="R130"/>
  <c r="Q130"/>
  <c r="V129"/>
  <c r="U129"/>
  <c r="T129"/>
  <c r="S129"/>
  <c r="R129"/>
  <c r="Q129"/>
  <c r="U128"/>
  <c r="T128"/>
  <c r="S128"/>
  <c r="R128"/>
  <c r="Q128"/>
  <c r="X127"/>
  <c r="T127"/>
  <c r="S127"/>
  <c r="R127"/>
  <c r="Q127"/>
  <c r="X126"/>
  <c r="W126"/>
  <c r="S126"/>
  <c r="R126"/>
  <c r="Q126"/>
  <c r="X125"/>
  <c r="W125"/>
  <c r="V125"/>
  <c r="R125"/>
  <c r="Q125"/>
  <c r="X124"/>
  <c r="W124"/>
  <c r="V124"/>
  <c r="U124"/>
  <c r="Q124"/>
  <c r="X123"/>
  <c r="W123"/>
  <c r="V123"/>
  <c r="U123"/>
  <c r="T123"/>
  <c r="P130"/>
  <c r="P129"/>
  <c r="P128"/>
  <c r="Y62" i="14" s="1"/>
  <c r="Z64" s="1"/>
  <c r="D87" i="16" s="1"/>
  <c r="P127" i="15"/>
  <c r="P126"/>
  <c r="P125"/>
  <c r="P124"/>
  <c r="G62" i="14" s="1"/>
  <c r="H64" s="1"/>
  <c r="D35" i="16" s="1"/>
  <c r="P123" i="15"/>
  <c r="Z110"/>
  <c r="Z111" s="1"/>
  <c r="Z112" s="1"/>
  <c r="Z94"/>
  <c r="Z95" s="1"/>
  <c r="D187" s="1"/>
  <c r="C203"/>
  <c r="D199"/>
  <c r="C199"/>
  <c r="D198"/>
  <c r="C198"/>
  <c r="D190"/>
  <c r="H162"/>
  <c r="G162"/>
  <c r="F162"/>
  <c r="E162"/>
  <c r="D162"/>
  <c r="C162"/>
  <c r="H161"/>
  <c r="G161"/>
  <c r="F161"/>
  <c r="E161"/>
  <c r="D161"/>
  <c r="C161"/>
  <c r="E159"/>
  <c r="D159"/>
  <c r="E158"/>
  <c r="D158"/>
  <c r="C147"/>
  <c r="J141"/>
  <c r="I141"/>
  <c r="H141"/>
  <c r="G141"/>
  <c r="F141"/>
  <c r="E141"/>
  <c r="D141"/>
  <c r="C141"/>
  <c r="J140"/>
  <c r="I140"/>
  <c r="H140"/>
  <c r="G140"/>
  <c r="F140"/>
  <c r="E140"/>
  <c r="D140"/>
  <c r="C140"/>
  <c r="C186" s="1"/>
  <c r="C132"/>
  <c r="X118"/>
  <c r="J107" s="1"/>
  <c r="W118"/>
  <c r="I107" s="1"/>
  <c r="V118"/>
  <c r="U118"/>
  <c r="T118"/>
  <c r="F107" s="1"/>
  <c r="S118"/>
  <c r="E107" s="1"/>
  <c r="R118"/>
  <c r="Q118"/>
  <c r="Q119" s="1"/>
  <c r="C188" s="1"/>
  <c r="H114"/>
  <c r="G114"/>
  <c r="F114"/>
  <c r="E114"/>
  <c r="D114"/>
  <c r="C114"/>
  <c r="C104"/>
  <c r="D104" s="1"/>
  <c r="C103"/>
  <c r="D103" s="1"/>
  <c r="X101"/>
  <c r="X130" s="1"/>
  <c r="C102"/>
  <c r="D102" s="1"/>
  <c r="D152" s="1"/>
  <c r="X100"/>
  <c r="X129" s="1"/>
  <c r="W100"/>
  <c r="W129" s="1"/>
  <c r="J101"/>
  <c r="J151" s="1"/>
  <c r="I101"/>
  <c r="I151" s="1"/>
  <c r="H101"/>
  <c r="H151" s="1"/>
  <c r="G101"/>
  <c r="G151" s="1"/>
  <c r="F101"/>
  <c r="F151" s="1"/>
  <c r="E101"/>
  <c r="E151" s="1"/>
  <c r="D101"/>
  <c r="D151" s="1"/>
  <c r="C101"/>
  <c r="C151" s="1"/>
  <c r="X99"/>
  <c r="X128" s="1"/>
  <c r="W99"/>
  <c r="W128" s="1"/>
  <c r="V99"/>
  <c r="V128" s="1"/>
  <c r="W98"/>
  <c r="W127" s="1"/>
  <c r="V98"/>
  <c r="V127" s="1"/>
  <c r="U98"/>
  <c r="U127" s="1"/>
  <c r="C98"/>
  <c r="C150" s="1"/>
  <c r="V97"/>
  <c r="V126" s="1"/>
  <c r="U97"/>
  <c r="U126" s="1"/>
  <c r="T97"/>
  <c r="T126" s="1"/>
  <c r="U96"/>
  <c r="U125" s="1"/>
  <c r="T96"/>
  <c r="T125" s="1"/>
  <c r="S96"/>
  <c r="S125" s="1"/>
  <c r="T95"/>
  <c r="T124" s="1"/>
  <c r="S95"/>
  <c r="S124" s="1"/>
  <c r="R95"/>
  <c r="R124" s="1"/>
  <c r="S94"/>
  <c r="S123" s="1"/>
  <c r="R94"/>
  <c r="R123" s="1"/>
  <c r="Q94"/>
  <c r="C93"/>
  <c r="C145" s="1"/>
  <c r="D92"/>
  <c r="E92" s="1"/>
  <c r="C143"/>
  <c r="Q87"/>
  <c r="P87"/>
  <c r="C191" s="1"/>
  <c r="Q22"/>
  <c r="Q29" s="1"/>
  <c r="Q36" s="1"/>
  <c r="Q43" s="1"/>
  <c r="Q50" s="1"/>
  <c r="Q57" s="1"/>
  <c r="P22"/>
  <c r="P29" s="1"/>
  <c r="P36" s="1"/>
  <c r="P43" s="1"/>
  <c r="P50" s="1"/>
  <c r="P57" s="1"/>
  <c r="O22"/>
  <c r="O29" s="1"/>
  <c r="O36" s="1"/>
  <c r="O43" s="1"/>
  <c r="O50" s="1"/>
  <c r="O57" s="1"/>
  <c r="N22"/>
  <c r="N29" s="1"/>
  <c r="N36" s="1"/>
  <c r="N43" s="1"/>
  <c r="N50" s="1"/>
  <c r="N57" s="1"/>
  <c r="M22"/>
  <c r="M29" s="1"/>
  <c r="M36" s="1"/>
  <c r="M43" s="1"/>
  <c r="M50" s="1"/>
  <c r="M57" s="1"/>
  <c r="H14"/>
  <c r="G14"/>
  <c r="P14" s="1"/>
  <c r="P17" s="1"/>
  <c r="P16" s="1"/>
  <c r="F14"/>
  <c r="F17" s="1"/>
  <c r="F16" s="1"/>
  <c r="E14"/>
  <c r="E17" s="1"/>
  <c r="E16" s="1"/>
  <c r="D14"/>
  <c r="M14" s="1"/>
  <c r="H10"/>
  <c r="H9" s="1"/>
  <c r="G10"/>
  <c r="G9" s="1"/>
  <c r="F10"/>
  <c r="F9" s="1"/>
  <c r="E10"/>
  <c r="E9" s="1"/>
  <c r="D10"/>
  <c r="D9" s="1"/>
  <c r="Q7"/>
  <c r="Q10" s="1"/>
  <c r="Q9" s="1"/>
  <c r="P7"/>
  <c r="P10" s="1"/>
  <c r="P9" s="1"/>
  <c r="O7"/>
  <c r="N7"/>
  <c r="M7"/>
  <c r="M10" s="1"/>
  <c r="M9" s="1"/>
  <c r="I7"/>
  <c r="M62" i="14" l="1"/>
  <c r="N64" s="1"/>
  <c r="D51" i="16" s="1"/>
  <c r="S62" i="14"/>
  <c r="T64" s="1"/>
  <c r="D69" i="16" s="1"/>
  <c r="P62" i="14"/>
  <c r="Q64" s="1"/>
  <c r="D60" i="16" s="1"/>
  <c r="V62" i="14"/>
  <c r="W64" s="1"/>
  <c r="D78" i="16" s="1"/>
  <c r="J62" i="14"/>
  <c r="K64" s="1"/>
  <c r="D43" i="16" s="1"/>
  <c r="C187" i="15"/>
  <c r="D62" i="14" s="1"/>
  <c r="E64" s="1"/>
  <c r="D26" i="16" s="1"/>
  <c r="R131" i="15"/>
  <c r="W131"/>
  <c r="V131"/>
  <c r="P131"/>
  <c r="U131"/>
  <c r="X131"/>
  <c r="Z96"/>
  <c r="E187" s="1"/>
  <c r="T131"/>
  <c r="Q102"/>
  <c r="Q123"/>
  <c r="Q131" s="1"/>
  <c r="S131"/>
  <c r="AA110"/>
  <c r="AB110" s="1"/>
  <c r="Z113"/>
  <c r="D186"/>
  <c r="E186" s="1"/>
  <c r="C154"/>
  <c r="D105"/>
  <c r="C105"/>
  <c r="D191"/>
  <c r="E191" s="1"/>
  <c r="F191" s="1"/>
  <c r="D93"/>
  <c r="D145" s="1"/>
  <c r="E21"/>
  <c r="E28" s="1"/>
  <c r="E31" s="1"/>
  <c r="E30" s="1"/>
  <c r="C107"/>
  <c r="D153"/>
  <c r="E103"/>
  <c r="E153" s="1"/>
  <c r="C153"/>
  <c r="C99"/>
  <c r="D80" i="14" s="1"/>
  <c r="N14" i="15"/>
  <c r="R102"/>
  <c r="D108" s="1"/>
  <c r="X102"/>
  <c r="J108" s="1"/>
  <c r="J110" s="1"/>
  <c r="E102"/>
  <c r="O14"/>
  <c r="O17" s="1"/>
  <c r="O16" s="1"/>
  <c r="C96"/>
  <c r="S102"/>
  <c r="E108" s="1"/>
  <c r="E110" s="1"/>
  <c r="T102"/>
  <c r="F108" s="1"/>
  <c r="F110" s="1"/>
  <c r="U102"/>
  <c r="G108" s="1"/>
  <c r="V102"/>
  <c r="H108" s="1"/>
  <c r="M17"/>
  <c r="M16" s="1"/>
  <c r="E144"/>
  <c r="F92"/>
  <c r="F144" s="1"/>
  <c r="C144"/>
  <c r="O10"/>
  <c r="O9" s="1"/>
  <c r="G21"/>
  <c r="P21" s="1"/>
  <c r="P24" s="1"/>
  <c r="P23" s="1"/>
  <c r="D91"/>
  <c r="D98"/>
  <c r="E190"/>
  <c r="F190" s="1"/>
  <c r="G190" s="1"/>
  <c r="H190" s="1"/>
  <c r="I190" s="1"/>
  <c r="J190" s="1"/>
  <c r="W102"/>
  <c r="I108" s="1"/>
  <c r="I110" s="1"/>
  <c r="C109"/>
  <c r="N10"/>
  <c r="R7"/>
  <c r="G17"/>
  <c r="G16" s="1"/>
  <c r="D203"/>
  <c r="I10"/>
  <c r="E32" i="14" s="1"/>
  <c r="D21" i="15"/>
  <c r="D17"/>
  <c r="I14"/>
  <c r="H21"/>
  <c r="H17"/>
  <c r="H16" s="1"/>
  <c r="Q14"/>
  <c r="F21"/>
  <c r="R119"/>
  <c r="D144"/>
  <c r="C146"/>
  <c r="D94"/>
  <c r="D154"/>
  <c r="E104"/>
  <c r="I9"/>
  <c r="E33" i="14" s="1"/>
  <c r="G107" i="15"/>
  <c r="D107"/>
  <c r="H107"/>
  <c r="D109"/>
  <c r="C152"/>
  <c r="D79" i="14" l="1"/>
  <c r="E82" s="1"/>
  <c r="D28" i="16" s="1"/>
  <c r="C182" i="18"/>
  <c r="N10" s="1"/>
  <c r="G81" i="14"/>
  <c r="D183" i="18"/>
  <c r="I25" s="1"/>
  <c r="D81" i="14"/>
  <c r="C183" i="18"/>
  <c r="I12" s="1"/>
  <c r="D57" i="14"/>
  <c r="Q103" i="15"/>
  <c r="AA94" s="1"/>
  <c r="AB94" s="1"/>
  <c r="D67" i="14"/>
  <c r="E68" s="1"/>
  <c r="E93" i="15"/>
  <c r="F93" s="1"/>
  <c r="F145" s="1"/>
  <c r="C108"/>
  <c r="C110" s="1"/>
  <c r="D188"/>
  <c r="AA111"/>
  <c r="AB111" s="1"/>
  <c r="F103"/>
  <c r="G103" s="1"/>
  <c r="Z97"/>
  <c r="F187" s="1"/>
  <c r="Z114"/>
  <c r="G110"/>
  <c r="D110"/>
  <c r="H110"/>
  <c r="S119"/>
  <c r="AA112" s="1"/>
  <c r="AB112" s="1"/>
  <c r="E35"/>
  <c r="N35" s="1"/>
  <c r="F102"/>
  <c r="G102" s="1"/>
  <c r="E105"/>
  <c r="E152"/>
  <c r="N28"/>
  <c r="N21"/>
  <c r="E24"/>
  <c r="E23" s="1"/>
  <c r="D96"/>
  <c r="G28"/>
  <c r="G35" s="1"/>
  <c r="N17"/>
  <c r="N16" s="1"/>
  <c r="D150"/>
  <c r="D99"/>
  <c r="G80" i="14" s="1"/>
  <c r="G92" i="15"/>
  <c r="G144" s="1"/>
  <c r="C69"/>
  <c r="C130" s="1"/>
  <c r="E98"/>
  <c r="E99" s="1"/>
  <c r="J80" i="14" s="1"/>
  <c r="D143" i="15"/>
  <c r="E91"/>
  <c r="G24"/>
  <c r="G23" s="1"/>
  <c r="E154"/>
  <c r="F104"/>
  <c r="E94"/>
  <c r="D146"/>
  <c r="F186"/>
  <c r="D24"/>
  <c r="I21"/>
  <c r="D28"/>
  <c r="M21"/>
  <c r="F28"/>
  <c r="F24"/>
  <c r="F23" s="1"/>
  <c r="O21"/>
  <c r="Q17"/>
  <c r="R14"/>
  <c r="I17"/>
  <c r="H32" i="14" s="1"/>
  <c r="D16" i="15"/>
  <c r="I16" s="1"/>
  <c r="H33" i="14" s="1"/>
  <c r="G191" i="15"/>
  <c r="N9"/>
  <c r="R9" s="1"/>
  <c r="D20" i="14" s="1"/>
  <c r="R10" i="15"/>
  <c r="H28"/>
  <c r="Q21"/>
  <c r="H24"/>
  <c r="H23" s="1"/>
  <c r="E203"/>
  <c r="F25" i="18" l="1"/>
  <c r="F26" s="1"/>
  <c r="F29" s="1"/>
  <c r="F30" s="1"/>
  <c r="G25"/>
  <c r="G26" s="1"/>
  <c r="G29" s="1"/>
  <c r="G30" s="1"/>
  <c r="H25"/>
  <c r="H26" s="1"/>
  <c r="H29" s="1"/>
  <c r="H30" s="1"/>
  <c r="D25"/>
  <c r="D26" s="1"/>
  <c r="D29" s="1"/>
  <c r="D30" s="1"/>
  <c r="E25"/>
  <c r="E26" s="1"/>
  <c r="E29" s="1"/>
  <c r="E30" s="1"/>
  <c r="G79" i="14"/>
  <c r="H82" s="1"/>
  <c r="D36" i="16" s="1"/>
  <c r="D182" i="18"/>
  <c r="N23" s="1"/>
  <c r="D12"/>
  <c r="D13" s="1"/>
  <c r="D16" s="1"/>
  <c r="D17" s="1"/>
  <c r="F12"/>
  <c r="F13" s="1"/>
  <c r="F16" s="1"/>
  <c r="F17" s="1"/>
  <c r="H12"/>
  <c r="H13" s="1"/>
  <c r="H16" s="1"/>
  <c r="H17" s="1"/>
  <c r="G12"/>
  <c r="G13" s="1"/>
  <c r="G16" s="1"/>
  <c r="G17" s="1"/>
  <c r="E12"/>
  <c r="E13" s="1"/>
  <c r="E16" s="1"/>
  <c r="E17" s="1"/>
  <c r="J81" i="14"/>
  <c r="E183" i="18"/>
  <c r="I38" s="1"/>
  <c r="G93" i="15"/>
  <c r="G145" s="1"/>
  <c r="E58" i="14"/>
  <c r="D25" i="16" s="1"/>
  <c r="G22"/>
  <c r="I22" s="1"/>
  <c r="G43" i="14"/>
  <c r="H44" s="1"/>
  <c r="D33" i="16" s="1"/>
  <c r="D39" i="14"/>
  <c r="E40" s="1"/>
  <c r="D19"/>
  <c r="G57"/>
  <c r="E42" i="15"/>
  <c r="N42" s="1"/>
  <c r="R103"/>
  <c r="AA95" s="1"/>
  <c r="AB95" s="1"/>
  <c r="C189"/>
  <c r="E145"/>
  <c r="E38"/>
  <c r="E37" s="1"/>
  <c r="N24"/>
  <c r="N23" s="1"/>
  <c r="F153"/>
  <c r="E188"/>
  <c r="Z98"/>
  <c r="G187" s="1"/>
  <c r="F98"/>
  <c r="F99" s="1"/>
  <c r="M80" i="14" s="1"/>
  <c r="D69" i="15"/>
  <c r="D130" s="1"/>
  <c r="N31"/>
  <c r="N30" s="1"/>
  <c r="T119"/>
  <c r="AA113" s="1"/>
  <c r="AB113" s="1"/>
  <c r="E150"/>
  <c r="Z115"/>
  <c r="C156"/>
  <c r="F105"/>
  <c r="F152"/>
  <c r="P28"/>
  <c r="P31" s="1"/>
  <c r="P30" s="1"/>
  <c r="G31"/>
  <c r="G30" s="1"/>
  <c r="C71"/>
  <c r="H92"/>
  <c r="I92" s="1"/>
  <c r="C86"/>
  <c r="E96"/>
  <c r="E182" i="18" s="1"/>
  <c r="N36" s="1"/>
  <c r="E143" i="15"/>
  <c r="F91"/>
  <c r="F203"/>
  <c r="O24"/>
  <c r="O23" s="1"/>
  <c r="N38"/>
  <c r="N37" s="1"/>
  <c r="P35"/>
  <c r="G38"/>
  <c r="G37" s="1"/>
  <c r="G42"/>
  <c r="G153"/>
  <c r="H103"/>
  <c r="F31"/>
  <c r="F30" s="1"/>
  <c r="O28"/>
  <c r="F35"/>
  <c r="M24"/>
  <c r="R21"/>
  <c r="E146"/>
  <c r="F94"/>
  <c r="C131"/>
  <c r="Q28"/>
  <c r="H35"/>
  <c r="H31"/>
  <c r="H30" s="1"/>
  <c r="G152"/>
  <c r="H102"/>
  <c r="Q16"/>
  <c r="R16" s="1"/>
  <c r="R17"/>
  <c r="G19" i="14" s="1"/>
  <c r="C70" i="15"/>
  <c r="I24"/>
  <c r="K32" i="14" s="1"/>
  <c r="D23" i="15"/>
  <c r="I23" s="1"/>
  <c r="K33" i="14" s="1"/>
  <c r="Q24" i="15"/>
  <c r="Q23" s="1"/>
  <c r="H191"/>
  <c r="M28"/>
  <c r="D35"/>
  <c r="D31"/>
  <c r="I28"/>
  <c r="G186"/>
  <c r="G104"/>
  <c r="G105" s="1"/>
  <c r="F154"/>
  <c r="E38" i="18" l="1"/>
  <c r="E39" s="1"/>
  <c r="E42" s="1"/>
  <c r="E43" s="1"/>
  <c r="F38"/>
  <c r="F39" s="1"/>
  <c r="F42" s="1"/>
  <c r="F43" s="1"/>
  <c r="D38"/>
  <c r="D39" s="1"/>
  <c r="D42" s="1"/>
  <c r="D43" s="1"/>
  <c r="G38"/>
  <c r="G39" s="1"/>
  <c r="G42" s="1"/>
  <c r="G43" s="1"/>
  <c r="H38"/>
  <c r="H39" s="1"/>
  <c r="H42" s="1"/>
  <c r="H43" s="1"/>
  <c r="I17"/>
  <c r="N12" s="1"/>
  <c r="P81" i="14"/>
  <c r="G183" i="18"/>
  <c r="I64" s="1"/>
  <c r="M81" i="14"/>
  <c r="F183" i="18"/>
  <c r="I51" s="1"/>
  <c r="I30"/>
  <c r="N25" s="1"/>
  <c r="D31" i="14"/>
  <c r="D30" s="1"/>
  <c r="C23" i="16" s="1"/>
  <c r="E23" s="1"/>
  <c r="C184" i="15"/>
  <c r="C183"/>
  <c r="AB9" i="3"/>
  <c r="AB7" s="1"/>
  <c r="H93" i="15"/>
  <c r="I93" s="1"/>
  <c r="E49"/>
  <c r="E56" s="1"/>
  <c r="D189"/>
  <c r="S103"/>
  <c r="AA96" s="1"/>
  <c r="AB96" s="1"/>
  <c r="H58" i="14"/>
  <c r="D34" i="16" s="1"/>
  <c r="G23"/>
  <c r="I23" s="1"/>
  <c r="J79" i="14"/>
  <c r="K82" s="1"/>
  <c r="D44" i="16" s="1"/>
  <c r="E45" i="15"/>
  <c r="E44" s="1"/>
  <c r="G20" i="14"/>
  <c r="J43" s="1"/>
  <c r="K44" s="1"/>
  <c r="D41" i="16" s="1"/>
  <c r="J57" i="14"/>
  <c r="D86" i="15"/>
  <c r="G98"/>
  <c r="G99" s="1"/>
  <c r="P80" i="14" s="1"/>
  <c r="F150" i="15"/>
  <c r="F188"/>
  <c r="E69"/>
  <c r="E71" s="1"/>
  <c r="J31" i="14" s="1"/>
  <c r="M35" s="1"/>
  <c r="D71" i="15"/>
  <c r="U119"/>
  <c r="AA114" s="1"/>
  <c r="AB114" s="1"/>
  <c r="C157"/>
  <c r="Z99"/>
  <c r="H187" s="1"/>
  <c r="Z116"/>
  <c r="H144"/>
  <c r="C78"/>
  <c r="F96"/>
  <c r="F182" i="18" s="1"/>
  <c r="N49" s="1"/>
  <c r="C72" i="15"/>
  <c r="F143"/>
  <c r="G91"/>
  <c r="N45"/>
  <c r="N44" s="1"/>
  <c r="H42"/>
  <c r="H38"/>
  <c r="H37" s="1"/>
  <c r="Q35"/>
  <c r="F146"/>
  <c r="G94"/>
  <c r="O31"/>
  <c r="O30" s="1"/>
  <c r="I31"/>
  <c r="N32" i="14" s="1"/>
  <c r="D30" i="15"/>
  <c r="I30" s="1"/>
  <c r="N33" i="14" s="1"/>
  <c r="I191" i="15"/>
  <c r="I102"/>
  <c r="H152"/>
  <c r="Q31"/>
  <c r="Q30" s="1"/>
  <c r="D131"/>
  <c r="D135" s="1"/>
  <c r="G49"/>
  <c r="G45"/>
  <c r="G44" s="1"/>
  <c r="P42"/>
  <c r="D42"/>
  <c r="D38"/>
  <c r="I35"/>
  <c r="M35"/>
  <c r="C135"/>
  <c r="M23"/>
  <c r="R23" s="1"/>
  <c r="R24"/>
  <c r="J19" i="14" s="1"/>
  <c r="I103" i="15"/>
  <c r="H153"/>
  <c r="J92"/>
  <c r="J144" s="1"/>
  <c r="I144"/>
  <c r="G203"/>
  <c r="G154"/>
  <c r="H104"/>
  <c r="H105" s="1"/>
  <c r="H186"/>
  <c r="M31"/>
  <c r="R28"/>
  <c r="C87"/>
  <c r="C75"/>
  <c r="D48" i="14" s="1"/>
  <c r="E50" s="1"/>
  <c r="C73" i="15"/>
  <c r="E22" i="14" s="1"/>
  <c r="D70" i="15"/>
  <c r="F42"/>
  <c r="F38"/>
  <c r="F37" s="1"/>
  <c r="O35"/>
  <c r="P38"/>
  <c r="P37" s="1"/>
  <c r="D51" i="18" l="1"/>
  <c r="D52" s="1"/>
  <c r="D55" s="1"/>
  <c r="D56" s="1"/>
  <c r="E51"/>
  <c r="E52" s="1"/>
  <c r="E55" s="1"/>
  <c r="E56" s="1"/>
  <c r="H51"/>
  <c r="H52" s="1"/>
  <c r="H55" s="1"/>
  <c r="H56" s="1"/>
  <c r="G51"/>
  <c r="G52" s="1"/>
  <c r="G55" s="1"/>
  <c r="G56" s="1"/>
  <c r="F51"/>
  <c r="F52" s="1"/>
  <c r="F55" s="1"/>
  <c r="F56" s="1"/>
  <c r="S81" i="14"/>
  <c r="H183" i="18"/>
  <c r="I77" s="1"/>
  <c r="E3"/>
  <c r="N27"/>
  <c r="E4" s="1"/>
  <c r="D3"/>
  <c r="N14"/>
  <c r="D4" s="1"/>
  <c r="N49" i="15"/>
  <c r="N52" s="1"/>
  <c r="N51" s="1"/>
  <c r="D64" i="18"/>
  <c r="D65" s="1"/>
  <c r="D68" s="1"/>
  <c r="D69" s="1"/>
  <c r="F64"/>
  <c r="F65" s="1"/>
  <c r="F68" s="1"/>
  <c r="F69" s="1"/>
  <c r="G64"/>
  <c r="G65" s="1"/>
  <c r="G68" s="1"/>
  <c r="G69" s="1"/>
  <c r="E64"/>
  <c r="E65" s="1"/>
  <c r="E68" s="1"/>
  <c r="E69" s="1"/>
  <c r="H64"/>
  <c r="H65" s="1"/>
  <c r="H68" s="1"/>
  <c r="H69" s="1"/>
  <c r="I43"/>
  <c r="N38" s="1"/>
  <c r="AB8" i="3"/>
  <c r="AB11" s="1"/>
  <c r="E189" i="15"/>
  <c r="C164"/>
  <c r="C166" s="1"/>
  <c r="C168" s="1"/>
  <c r="M161" s="1"/>
  <c r="C197"/>
  <c r="G35" i="14"/>
  <c r="C30" i="16" s="1"/>
  <c r="H145" i="15"/>
  <c r="D183"/>
  <c r="AC9" i="3"/>
  <c r="E52" i="15"/>
  <c r="E51" s="1"/>
  <c r="T103"/>
  <c r="AA97" s="1"/>
  <c r="AB97" s="1"/>
  <c r="K58" i="14"/>
  <c r="D42" i="16" s="1"/>
  <c r="G24"/>
  <c r="I24" s="1"/>
  <c r="G25" i="14"/>
  <c r="H26" s="1"/>
  <c r="D32" i="16" s="1"/>
  <c r="N36" i="14"/>
  <c r="C46" i="16"/>
  <c r="G150" i="15"/>
  <c r="J20" i="14"/>
  <c r="M43" s="1"/>
  <c r="N44" s="1"/>
  <c r="D49" i="16" s="1"/>
  <c r="M57" i="14"/>
  <c r="D184" i="15"/>
  <c r="G31" i="14"/>
  <c r="M79"/>
  <c r="N82" s="1"/>
  <c r="D52" i="16" s="1"/>
  <c r="E21" i="14"/>
  <c r="D24" i="16" s="1"/>
  <c r="E24" s="1"/>
  <c r="E25" s="1"/>
  <c r="E26" s="1"/>
  <c r="E27" s="1"/>
  <c r="E28" s="1"/>
  <c r="J30" i="14"/>
  <c r="C37" i="16" s="1"/>
  <c r="E130" i="15"/>
  <c r="E131" s="1"/>
  <c r="E86"/>
  <c r="D78"/>
  <c r="G188"/>
  <c r="H98"/>
  <c r="H99" s="1"/>
  <c r="S80" i="14" s="1"/>
  <c r="E72" i="15"/>
  <c r="F69"/>
  <c r="F130" s="1"/>
  <c r="Z100"/>
  <c r="I187" s="1"/>
  <c r="V119"/>
  <c r="AA115" s="1"/>
  <c r="AB115" s="1"/>
  <c r="D72"/>
  <c r="Z117"/>
  <c r="C76"/>
  <c r="G96"/>
  <c r="G143"/>
  <c r="H91"/>
  <c r="C196"/>
  <c r="C79"/>
  <c r="C88"/>
  <c r="C112" s="1"/>
  <c r="C116" s="1"/>
  <c r="C119" s="1"/>
  <c r="E70"/>
  <c r="J191"/>
  <c r="H94"/>
  <c r="G146"/>
  <c r="I145"/>
  <c r="J93"/>
  <c r="J145" s="1"/>
  <c r="C80"/>
  <c r="I186"/>
  <c r="H203"/>
  <c r="M38"/>
  <c r="R35"/>
  <c r="P45"/>
  <c r="P44" s="1"/>
  <c r="Q38"/>
  <c r="Q37" s="1"/>
  <c r="R31"/>
  <c r="M19" i="14" s="1"/>
  <c r="M30" i="15"/>
  <c r="R30" s="1"/>
  <c r="M20" i="14" s="1"/>
  <c r="P43" s="1"/>
  <c r="Q44" s="1"/>
  <c r="D58" i="16" s="1"/>
  <c r="H154" i="15"/>
  <c r="I104"/>
  <c r="I105" s="1"/>
  <c r="D37"/>
  <c r="I37" s="1"/>
  <c r="Q33" i="14" s="1"/>
  <c r="I38" i="15"/>
  <c r="Q32" i="14" s="1"/>
  <c r="P49" i="15"/>
  <c r="G52"/>
  <c r="G51" s="1"/>
  <c r="G56"/>
  <c r="Q42"/>
  <c r="H45"/>
  <c r="H44" s="1"/>
  <c r="H49"/>
  <c r="O42"/>
  <c r="F45"/>
  <c r="F44" s="1"/>
  <c r="F49"/>
  <c r="C74"/>
  <c r="I153"/>
  <c r="J103"/>
  <c r="J153" s="1"/>
  <c r="M42"/>
  <c r="D49"/>
  <c r="D45"/>
  <c r="I42"/>
  <c r="O38"/>
  <c r="O37" s="1"/>
  <c r="D87"/>
  <c r="D88" s="1"/>
  <c r="D112" s="1"/>
  <c r="D116" s="1"/>
  <c r="D119" s="1"/>
  <c r="D205" s="1"/>
  <c r="D73"/>
  <c r="H22" i="14" s="1"/>
  <c r="J25" s="1"/>
  <c r="K26" s="1"/>
  <c r="D40" i="16" s="1"/>
  <c r="D139" i="15"/>
  <c r="D75"/>
  <c r="D76" s="1"/>
  <c r="E184"/>
  <c r="E78"/>
  <c r="E59"/>
  <c r="E58" s="1"/>
  <c r="N56"/>
  <c r="I152"/>
  <c r="J102"/>
  <c r="I56" i="18" l="1"/>
  <c r="N51" s="1"/>
  <c r="G3" s="1"/>
  <c r="F3"/>
  <c r="N40"/>
  <c r="F4" s="1"/>
  <c r="I69"/>
  <c r="V81" i="14"/>
  <c r="I183" i="18"/>
  <c r="I90" s="1"/>
  <c r="P79" i="14"/>
  <c r="Q82" s="1"/>
  <c r="D61" i="16" s="1"/>
  <c r="G182" i="18"/>
  <c r="N62" s="1"/>
  <c r="E77"/>
  <c r="E78" s="1"/>
  <c r="E81" s="1"/>
  <c r="E82" s="1"/>
  <c r="F77"/>
  <c r="F78" s="1"/>
  <c r="F81" s="1"/>
  <c r="F82" s="1"/>
  <c r="H77"/>
  <c r="H78" s="1"/>
  <c r="H81" s="1"/>
  <c r="H82" s="1"/>
  <c r="D77"/>
  <c r="D78" s="1"/>
  <c r="D81" s="1"/>
  <c r="D82" s="1"/>
  <c r="G77"/>
  <c r="G78" s="1"/>
  <c r="G81" s="1"/>
  <c r="G82" s="1"/>
  <c r="AC7" i="3"/>
  <c r="AC8" s="1"/>
  <c r="AC11" s="1"/>
  <c r="F189" i="15"/>
  <c r="H36" i="14"/>
  <c r="U103" i="15"/>
  <c r="AA98" s="1"/>
  <c r="AB98" s="1"/>
  <c r="E183"/>
  <c r="AD9" i="3"/>
  <c r="AD7" s="1"/>
  <c r="N58" i="14"/>
  <c r="D50" i="16" s="1"/>
  <c r="G25"/>
  <c r="I25" s="1"/>
  <c r="P57" i="14"/>
  <c r="J35"/>
  <c r="G30"/>
  <c r="C29" i="16" s="1"/>
  <c r="E29" s="1"/>
  <c r="E30" s="1"/>
  <c r="H21" i="14"/>
  <c r="D31" i="16" s="1"/>
  <c r="I98" i="15"/>
  <c r="I99" s="1"/>
  <c r="V80" i="14" s="1"/>
  <c r="H150" i="15"/>
  <c r="F71"/>
  <c r="M31" i="14" s="1"/>
  <c r="F86" i="15"/>
  <c r="D128"/>
  <c r="W119"/>
  <c r="AA116" s="1"/>
  <c r="AB116" s="1"/>
  <c r="G69"/>
  <c r="G86" s="1"/>
  <c r="AF9" i="3" s="1"/>
  <c r="AF7" s="1"/>
  <c r="H188" i="15"/>
  <c r="Z101"/>
  <c r="J187" s="1"/>
  <c r="D74"/>
  <c r="J152"/>
  <c r="H96"/>
  <c r="H143"/>
  <c r="I91"/>
  <c r="D156"/>
  <c r="D157" s="1"/>
  <c r="M45"/>
  <c r="R42"/>
  <c r="O45"/>
  <c r="O44" s="1"/>
  <c r="P52"/>
  <c r="P51" s="1"/>
  <c r="I203"/>
  <c r="D196"/>
  <c r="D79"/>
  <c r="H56"/>
  <c r="H52"/>
  <c r="H51" s="1"/>
  <c r="Q49"/>
  <c r="R38"/>
  <c r="P19" i="14" s="1"/>
  <c r="M37" i="15"/>
  <c r="R37" s="1"/>
  <c r="P20" i="14" s="1"/>
  <c r="S43" s="1"/>
  <c r="T44" s="1"/>
  <c r="D67" i="16" s="1"/>
  <c r="H146" i="15"/>
  <c r="I94"/>
  <c r="E139"/>
  <c r="E75"/>
  <c r="E73"/>
  <c r="K22" i="14" s="1"/>
  <c r="E87" i="15"/>
  <c r="E88" s="1"/>
  <c r="E112" s="1"/>
  <c r="E116" s="1"/>
  <c r="K90" i="14" s="1"/>
  <c r="F131" i="15"/>
  <c r="N59"/>
  <c r="N58" s="1"/>
  <c r="D80"/>
  <c r="I45"/>
  <c r="T32" i="14" s="1"/>
  <c r="D44" i="15"/>
  <c r="I44" s="1"/>
  <c r="T33" i="14" s="1"/>
  <c r="E135" i="15"/>
  <c r="F56"/>
  <c r="F52"/>
  <c r="F51" s="1"/>
  <c r="O49"/>
  <c r="G59"/>
  <c r="G58" s="1"/>
  <c r="P56"/>
  <c r="F70"/>
  <c r="J186"/>
  <c r="C205"/>
  <c r="D56"/>
  <c r="D52"/>
  <c r="I49"/>
  <c r="M49"/>
  <c r="Q45"/>
  <c r="Q44" s="1"/>
  <c r="I154"/>
  <c r="J104"/>
  <c r="J154" s="1"/>
  <c r="N53" i="18" l="1"/>
  <c r="G4" s="1"/>
  <c r="I82"/>
  <c r="N64"/>
  <c r="S79" i="14"/>
  <c r="T82" s="1"/>
  <c r="D70" i="16" s="1"/>
  <c r="H182" i="18"/>
  <c r="N75" s="1"/>
  <c r="D90"/>
  <c r="D91" s="1"/>
  <c r="D94" s="1"/>
  <c r="D95" s="1"/>
  <c r="F90"/>
  <c r="F91" s="1"/>
  <c r="F94" s="1"/>
  <c r="F95" s="1"/>
  <c r="G90"/>
  <c r="G91" s="1"/>
  <c r="G94" s="1"/>
  <c r="G95" s="1"/>
  <c r="E90"/>
  <c r="E91" s="1"/>
  <c r="E94" s="1"/>
  <c r="E95" s="1"/>
  <c r="H90"/>
  <c r="H91" s="1"/>
  <c r="H94" s="1"/>
  <c r="H95" s="1"/>
  <c r="AF8" i="3"/>
  <c r="AF11" s="1"/>
  <c r="AD8"/>
  <c r="AD11" s="1"/>
  <c r="F72" i="15"/>
  <c r="G189"/>
  <c r="V103"/>
  <c r="AA99" s="1"/>
  <c r="AB99" s="1"/>
  <c r="F183"/>
  <c r="G183" s="1"/>
  <c r="AE9" i="3"/>
  <c r="AE7" s="1"/>
  <c r="J98" i="15"/>
  <c r="J99" s="1"/>
  <c r="Y80" i="14" s="1"/>
  <c r="Q58"/>
  <c r="D59" i="16" s="1"/>
  <c r="G26"/>
  <c r="I26" s="1"/>
  <c r="K36" i="14"/>
  <c r="C38" i="16"/>
  <c r="E31"/>
  <c r="E32" s="1"/>
  <c r="E33" s="1"/>
  <c r="E34" s="1"/>
  <c r="E35" s="1"/>
  <c r="E36" s="1"/>
  <c r="E37" s="1"/>
  <c r="G71" i="15"/>
  <c r="P31" i="14" s="1"/>
  <c r="M25"/>
  <c r="N26" s="1"/>
  <c r="D48" i="16" s="1"/>
  <c r="K21" i="14"/>
  <c r="D39" i="16" s="1"/>
  <c r="S57" i="14"/>
  <c r="P35"/>
  <c r="C55" i="16" s="1"/>
  <c r="M30" i="14"/>
  <c r="C45" i="16" s="1"/>
  <c r="I150" i="15"/>
  <c r="D197"/>
  <c r="F78"/>
  <c r="C182"/>
  <c r="C192" s="1"/>
  <c r="D204"/>
  <c r="E204" s="1"/>
  <c r="I188"/>
  <c r="F184"/>
  <c r="G130"/>
  <c r="G131" s="1"/>
  <c r="X119"/>
  <c r="J188" s="1"/>
  <c r="H69"/>
  <c r="H130" s="1"/>
  <c r="E74"/>
  <c r="J105"/>
  <c r="I96"/>
  <c r="J91"/>
  <c r="I143"/>
  <c r="C206"/>
  <c r="F139"/>
  <c r="F73"/>
  <c r="N22" i="14" s="1"/>
  <c r="F87" i="15"/>
  <c r="F88" s="1"/>
  <c r="F112" s="1"/>
  <c r="F116" s="1"/>
  <c r="F75"/>
  <c r="F76" s="1"/>
  <c r="E80"/>
  <c r="E117"/>
  <c r="K95" i="14" s="1"/>
  <c r="M99" s="1"/>
  <c r="E76" i="15"/>
  <c r="Q56"/>
  <c r="H59"/>
  <c r="H58" s="1"/>
  <c r="D51"/>
  <c r="I51" s="1"/>
  <c r="W33" i="14" s="1"/>
  <c r="I52" i="15"/>
  <c r="W32" i="14" s="1"/>
  <c r="E79" i="15"/>
  <c r="E196"/>
  <c r="E156"/>
  <c r="E157" s="1"/>
  <c r="G70"/>
  <c r="D164"/>
  <c r="D166" s="1"/>
  <c r="M52"/>
  <c r="R49"/>
  <c r="J203"/>
  <c r="R45"/>
  <c r="S19" i="14" s="1"/>
  <c r="M44" i="15"/>
  <c r="R44" s="1"/>
  <c r="S20" i="14" s="1"/>
  <c r="V43" s="1"/>
  <c r="W44" s="1"/>
  <c r="D76" i="16" s="1"/>
  <c r="P59" i="15"/>
  <c r="P58" s="1"/>
  <c r="O56"/>
  <c r="F59"/>
  <c r="F58" s="1"/>
  <c r="M56"/>
  <c r="D59"/>
  <c r="I56"/>
  <c r="O52"/>
  <c r="O51" s="1"/>
  <c r="F135"/>
  <c r="J94"/>
  <c r="J146" s="1"/>
  <c r="I146"/>
  <c r="Q52"/>
  <c r="Q51" s="1"/>
  <c r="N77" i="18" l="1"/>
  <c r="I3" s="1"/>
  <c r="V79" i="14"/>
  <c r="W82" s="1"/>
  <c r="D79" i="16" s="1"/>
  <c r="I182" i="18"/>
  <c r="N88" s="1"/>
  <c r="H3"/>
  <c r="N66"/>
  <c r="H4" s="1"/>
  <c r="Y81" i="14"/>
  <c r="J183" i="18"/>
  <c r="I103" s="1"/>
  <c r="I95"/>
  <c r="AE8" i="3"/>
  <c r="AE11" s="1"/>
  <c r="W103" i="15"/>
  <c r="AA100" s="1"/>
  <c r="AB100" s="1"/>
  <c r="H189"/>
  <c r="J150"/>
  <c r="T58" i="14"/>
  <c r="D68" i="16" s="1"/>
  <c r="G27"/>
  <c r="I27" s="1"/>
  <c r="E38"/>
  <c r="E39" s="1"/>
  <c r="E40" s="1"/>
  <c r="E41" s="1"/>
  <c r="E42" s="1"/>
  <c r="E43" s="1"/>
  <c r="E44" s="1"/>
  <c r="E45" s="1"/>
  <c r="E46" s="1"/>
  <c r="S35" i="14"/>
  <c r="C64" i="16" s="1"/>
  <c r="P30" i="14"/>
  <c r="C54" i="16" s="1"/>
  <c r="G78" i="15"/>
  <c r="G184"/>
  <c r="G72"/>
  <c r="P25" i="14"/>
  <c r="Q26" s="1"/>
  <c r="D57" i="16" s="1"/>
  <c r="N21" i="14"/>
  <c r="D47" i="16" s="1"/>
  <c r="Q36" i="14"/>
  <c r="V57"/>
  <c r="D206" i="15"/>
  <c r="D182"/>
  <c r="D192" s="1"/>
  <c r="E197"/>
  <c r="H86"/>
  <c r="H71"/>
  <c r="H78" s="1"/>
  <c r="AA117"/>
  <c r="AB117" s="1"/>
  <c r="F74"/>
  <c r="E118"/>
  <c r="I69"/>
  <c r="I130" s="1"/>
  <c r="J143"/>
  <c r="J96"/>
  <c r="O59"/>
  <c r="O58" s="1"/>
  <c r="F117"/>
  <c r="N95" i="14" s="1"/>
  <c r="P99" s="1"/>
  <c r="M51" i="15"/>
  <c r="R51" s="1"/>
  <c r="V20" i="14" s="1"/>
  <c r="Y43" s="1"/>
  <c r="Z44" s="1"/>
  <c r="D85" i="16" s="1"/>
  <c r="R52" i="15"/>
  <c r="V19" i="14" s="1"/>
  <c r="G139" i="15"/>
  <c r="G75"/>
  <c r="G76" s="1"/>
  <c r="G73"/>
  <c r="Q22" i="14" s="1"/>
  <c r="G87" i="15"/>
  <c r="G88" s="1"/>
  <c r="G112" s="1"/>
  <c r="G116" s="1"/>
  <c r="Q59"/>
  <c r="Q58" s="1"/>
  <c r="F196"/>
  <c r="F79"/>
  <c r="I59"/>
  <c r="Z32" i="14" s="1"/>
  <c r="D58" i="15"/>
  <c r="I58" s="1"/>
  <c r="Z33" i="14" s="1"/>
  <c r="H70" i="15"/>
  <c r="D168"/>
  <c r="M162" s="1"/>
  <c r="E128"/>
  <c r="E164"/>
  <c r="F80"/>
  <c r="F156"/>
  <c r="F157" s="1"/>
  <c r="H131"/>
  <c r="H135" s="1"/>
  <c r="G135"/>
  <c r="M59"/>
  <c r="R56"/>
  <c r="E198"/>
  <c r="F158"/>
  <c r="N79" i="18" l="1"/>
  <c r="I4" s="1"/>
  <c r="N90"/>
  <c r="J3" s="1"/>
  <c r="Y79" i="14"/>
  <c r="Z82" s="1"/>
  <c r="D88" i="16" s="1"/>
  <c r="J182" i="18"/>
  <c r="N101" s="1"/>
  <c r="E103"/>
  <c r="E104" s="1"/>
  <c r="E107" s="1"/>
  <c r="E108" s="1"/>
  <c r="G103"/>
  <c r="G104" s="1"/>
  <c r="G107" s="1"/>
  <c r="G108" s="1"/>
  <c r="D103"/>
  <c r="D104" s="1"/>
  <c r="D107" s="1"/>
  <c r="D108" s="1"/>
  <c r="H103"/>
  <c r="H104" s="1"/>
  <c r="H107" s="1"/>
  <c r="H108" s="1"/>
  <c r="F103"/>
  <c r="F104" s="1"/>
  <c r="F107" s="1"/>
  <c r="F108" s="1"/>
  <c r="I189" i="15"/>
  <c r="X103"/>
  <c r="AA101" s="1"/>
  <c r="AB101" s="1"/>
  <c r="H183"/>
  <c r="AG9" i="3"/>
  <c r="AG7" s="1"/>
  <c r="W58" i="14"/>
  <c r="D77" i="16" s="1"/>
  <c r="G28"/>
  <c r="I28" s="1"/>
  <c r="E47"/>
  <c r="E48" s="1"/>
  <c r="E49" s="1"/>
  <c r="E50" s="1"/>
  <c r="E51" s="1"/>
  <c r="E52" s="1"/>
  <c r="T36" i="14"/>
  <c r="Y57"/>
  <c r="S25"/>
  <c r="T26" s="1"/>
  <c r="D66" i="16" s="1"/>
  <c r="Q21" i="14"/>
  <c r="D56" i="16" s="1"/>
  <c r="H72" i="15"/>
  <c r="S31" i="14"/>
  <c r="E199" i="15"/>
  <c r="K94" i="14"/>
  <c r="E182" i="15"/>
  <c r="E192" s="1"/>
  <c r="F159"/>
  <c r="F164" s="1"/>
  <c r="H184"/>
  <c r="F197"/>
  <c r="I71"/>
  <c r="V31" i="14" s="1"/>
  <c r="I86" i="15"/>
  <c r="G74"/>
  <c r="E119"/>
  <c r="J69"/>
  <c r="J130" s="1"/>
  <c r="F118"/>
  <c r="N94" i="14" s="1"/>
  <c r="G196" i="15"/>
  <c r="G79"/>
  <c r="G156"/>
  <c r="G157" s="1"/>
  <c r="G80"/>
  <c r="G117"/>
  <c r="Q95" i="14" s="1"/>
  <c r="S99" s="1"/>
  <c r="G158" i="15"/>
  <c r="F198"/>
  <c r="R59"/>
  <c r="Y19" i="14" s="1"/>
  <c r="M58" i="15"/>
  <c r="R58" s="1"/>
  <c r="I131"/>
  <c r="E166"/>
  <c r="H87"/>
  <c r="H88" s="1"/>
  <c r="H112" s="1"/>
  <c r="H116" s="1"/>
  <c r="H73"/>
  <c r="T22" i="14" s="1"/>
  <c r="H75" i="15"/>
  <c r="H76" s="1"/>
  <c r="H139"/>
  <c r="I70"/>
  <c r="N92" i="18" l="1"/>
  <c r="J4" s="1"/>
  <c r="I108"/>
  <c r="N103" s="1"/>
  <c r="AG8" i="3"/>
  <c r="AG11" s="1"/>
  <c r="J189" i="15"/>
  <c r="I183"/>
  <c r="AH9" i="3"/>
  <c r="AH7" s="1"/>
  <c r="Z58" i="14"/>
  <c r="D86" i="16" s="1"/>
  <c r="G29"/>
  <c r="I29" s="1"/>
  <c r="V25" i="14"/>
  <c r="W26" s="1"/>
  <c r="D75" i="16" s="1"/>
  <c r="T21" i="14"/>
  <c r="D65" i="16" s="1"/>
  <c r="I72" i="15"/>
  <c r="M98" i="14"/>
  <c r="N100" s="1"/>
  <c r="D53" i="16" s="1"/>
  <c r="E53" s="1"/>
  <c r="E54" s="1"/>
  <c r="E55" s="1"/>
  <c r="E56" s="1"/>
  <c r="E57" s="1"/>
  <c r="E58" s="1"/>
  <c r="E59" s="1"/>
  <c r="E60" s="1"/>
  <c r="E61" s="1"/>
  <c r="J93" i="14"/>
  <c r="Y35"/>
  <c r="C82" i="16" s="1"/>
  <c r="V30" i="14"/>
  <c r="C72" i="16" s="1"/>
  <c r="Y20" i="14"/>
  <c r="V35"/>
  <c r="C73" i="16" s="1"/>
  <c r="S30" i="14"/>
  <c r="C63" i="16" s="1"/>
  <c r="P98" i="14"/>
  <c r="Q100" s="1"/>
  <c r="D62" i="16" s="1"/>
  <c r="M93" i="14"/>
  <c r="G197" i="15"/>
  <c r="E205"/>
  <c r="E206" s="1"/>
  <c r="F119"/>
  <c r="F205" s="1"/>
  <c r="I184"/>
  <c r="I78"/>
  <c r="J86"/>
  <c r="J71"/>
  <c r="J72" s="1"/>
  <c r="G159"/>
  <c r="G164" s="1"/>
  <c r="F199"/>
  <c r="H158"/>
  <c r="G198"/>
  <c r="J131"/>
  <c r="H196"/>
  <c r="H79"/>
  <c r="H74"/>
  <c r="H117"/>
  <c r="T95" i="14" s="1"/>
  <c r="V99" s="1"/>
  <c r="J70" i="15"/>
  <c r="H80"/>
  <c r="E168"/>
  <c r="M163" s="1"/>
  <c r="F128"/>
  <c r="F166" s="1"/>
  <c r="I135"/>
  <c r="G118"/>
  <c r="Q94" i="14" s="1"/>
  <c r="I87" i="15"/>
  <c r="I88" s="1"/>
  <c r="I112" s="1"/>
  <c r="I116" s="1"/>
  <c r="I139"/>
  <c r="I75"/>
  <c r="I73"/>
  <c r="W22" i="14" s="1"/>
  <c r="H156" i="15"/>
  <c r="H157" s="1"/>
  <c r="K3" i="18" l="1"/>
  <c r="N105"/>
  <c r="K4" s="1"/>
  <c r="AH8" i="3"/>
  <c r="AH11" s="1"/>
  <c r="J183" i="15"/>
  <c r="AI9" i="3"/>
  <c r="AI7" s="1"/>
  <c r="E62" i="16"/>
  <c r="E63" s="1"/>
  <c r="E64" s="1"/>
  <c r="E65" s="1"/>
  <c r="E66" s="1"/>
  <c r="E67" s="1"/>
  <c r="E68" s="1"/>
  <c r="E69" s="1"/>
  <c r="E70" s="1"/>
  <c r="W36" i="14"/>
  <c r="J184" i="15"/>
  <c r="Y31" i="14"/>
  <c r="Y30" s="1"/>
  <c r="C81" i="16" s="1"/>
  <c r="Z36" i="14"/>
  <c r="Y25"/>
  <c r="Z26" s="1"/>
  <c r="D84" i="16" s="1"/>
  <c r="W21" i="14"/>
  <c r="D74" i="16" s="1"/>
  <c r="S98" i="14"/>
  <c r="T100" s="1"/>
  <c r="D71" i="16" s="1"/>
  <c r="P93" i="14"/>
  <c r="H197" i="15"/>
  <c r="F204"/>
  <c r="G204" s="1"/>
  <c r="J78"/>
  <c r="H118"/>
  <c r="I196"/>
  <c r="I79"/>
  <c r="I156"/>
  <c r="I157" s="1"/>
  <c r="I80"/>
  <c r="I76"/>
  <c r="G128"/>
  <c r="G166" s="1"/>
  <c r="F168"/>
  <c r="M164" s="1"/>
  <c r="J139"/>
  <c r="J73"/>
  <c r="Z22" i="14" s="1"/>
  <c r="Z21" s="1"/>
  <c r="D83" i="16" s="1"/>
  <c r="J75" i="15"/>
  <c r="J76" s="1"/>
  <c r="J87"/>
  <c r="J88" s="1"/>
  <c r="J112" s="1"/>
  <c r="J116" s="1"/>
  <c r="H198"/>
  <c r="I158"/>
  <c r="I74"/>
  <c r="I117"/>
  <c r="W95" i="14" s="1"/>
  <c r="Y99" s="1"/>
  <c r="G199" i="15"/>
  <c r="H159"/>
  <c r="H164" s="1"/>
  <c r="G119"/>
  <c r="G205" s="1"/>
  <c r="J135"/>
  <c r="AI8" i="3" l="1"/>
  <c r="AI11" s="1"/>
  <c r="E71" i="16"/>
  <c r="E72" s="1"/>
  <c r="E73" s="1"/>
  <c r="E74" s="1"/>
  <c r="E75" s="1"/>
  <c r="E76" s="1"/>
  <c r="E77" s="1"/>
  <c r="E78" s="1"/>
  <c r="E79" s="1"/>
  <c r="H199" i="15"/>
  <c r="T94" i="14"/>
  <c r="F206" i="15"/>
  <c r="G182"/>
  <c r="G192" s="1"/>
  <c r="F182"/>
  <c r="F192" s="1"/>
  <c r="H204"/>
  <c r="I197"/>
  <c r="I118"/>
  <c r="W94" i="14" s="1"/>
  <c r="J74" i="15"/>
  <c r="H119"/>
  <c r="I159"/>
  <c r="I164" s="1"/>
  <c r="G206"/>
  <c r="G168"/>
  <c r="M165" s="1"/>
  <c r="H128"/>
  <c r="H166" s="1"/>
  <c r="I198"/>
  <c r="J158"/>
  <c r="J117"/>
  <c r="Z95" i="14" s="1"/>
  <c r="J196" i="15"/>
  <c r="J79"/>
  <c r="J156"/>
  <c r="J157" s="1"/>
  <c r="J197" s="1"/>
  <c r="J80"/>
  <c r="S93" i="14" l="1"/>
  <c r="V98"/>
  <c r="W100" s="1"/>
  <c r="D80" i="16" s="1"/>
  <c r="E80" s="1"/>
  <c r="E81" s="1"/>
  <c r="E82" s="1"/>
  <c r="E83" s="1"/>
  <c r="E84" s="1"/>
  <c r="E85" s="1"/>
  <c r="E86" s="1"/>
  <c r="E87" s="1"/>
  <c r="E88" s="1"/>
  <c r="E89" s="1"/>
  <c r="V93" i="14"/>
  <c r="Y98"/>
  <c r="Z100" s="1"/>
  <c r="D89" i="16" s="1"/>
  <c r="H182" i="15"/>
  <c r="H192" s="1"/>
  <c r="H205"/>
  <c r="H206" s="1"/>
  <c r="J198"/>
  <c r="I119"/>
  <c r="I205" s="1"/>
  <c r="I199"/>
  <c r="J159"/>
  <c r="J164" s="1"/>
  <c r="J118"/>
  <c r="Z94" i="14" s="1"/>
  <c r="Y93" s="1"/>
  <c r="H168" i="15"/>
  <c r="M166" s="1"/>
  <c r="I128"/>
  <c r="I166" s="1"/>
  <c r="I204" l="1"/>
  <c r="J204" s="1"/>
  <c r="I182"/>
  <c r="I192" s="1"/>
  <c r="J199"/>
  <c r="J119"/>
  <c r="I168"/>
  <c r="M167" s="1"/>
  <c r="J128"/>
  <c r="J166" s="1"/>
  <c r="J168" s="1"/>
  <c r="M168" s="1"/>
  <c r="I206" l="1"/>
  <c r="J182"/>
  <c r="J192" s="1"/>
  <c r="J205"/>
  <c r="B173"/>
  <c r="M170" s="1"/>
  <c r="C173"/>
  <c r="M171" s="1"/>
  <c r="J206" l="1"/>
</calcChain>
</file>

<file path=xl/sharedStrings.xml><?xml version="1.0" encoding="utf-8"?>
<sst xmlns="http://schemas.openxmlformats.org/spreadsheetml/2006/main" count="953" uniqueCount="295">
  <si>
    <t>PROYECCIÓN DE VENTAS</t>
  </si>
  <si>
    <t>UNIDADES</t>
  </si>
  <si>
    <t>CANTIDAD</t>
  </si>
  <si>
    <t>PRECIO</t>
  </si>
  <si>
    <t>IVA</t>
  </si>
  <si>
    <t>S</t>
  </si>
  <si>
    <t>M</t>
  </si>
  <si>
    <t>L</t>
  </si>
  <si>
    <t>XL</t>
  </si>
  <si>
    <t>XXL</t>
  </si>
  <si>
    <t>TOTAL</t>
  </si>
  <si>
    <t>INVENTARIO</t>
  </si>
  <si>
    <t>PROYECCIÓN COSTO DE VENTAS</t>
  </si>
  <si>
    <t>VENTAS</t>
  </si>
  <si>
    <t>COSTO DE VENTAS</t>
  </si>
  <si>
    <t>COMPRAS</t>
  </si>
  <si>
    <t>MONTO</t>
  </si>
  <si>
    <t>INTERES ANUAL</t>
  </si>
  <si>
    <t>AÑOS</t>
  </si>
  <si>
    <t>FECHA DE INICIO</t>
  </si>
  <si>
    <t xml:space="preserve">PRESTAMO BANCARIO </t>
  </si>
  <si>
    <t>No</t>
  </si>
  <si>
    <t>FECHA</t>
  </si>
  <si>
    <t>SALDO INICIAL</t>
  </si>
  <si>
    <t>PAGO ANUAL</t>
  </si>
  <si>
    <t>CAPITAL</t>
  </si>
  <si>
    <t xml:space="preserve">INTERÉS </t>
  </si>
  <si>
    <t>SALDO FINAL</t>
  </si>
  <si>
    <t xml:space="preserve">Total </t>
  </si>
  <si>
    <t>PAGOS ANUALES</t>
  </si>
  <si>
    <t>CAPITAL DE PRESTAMO</t>
  </si>
  <si>
    <t>GASTOS FINANCIEROS</t>
  </si>
  <si>
    <t>VENTAS NETAS</t>
  </si>
  <si>
    <t>UTILIDAD BRUTA</t>
  </si>
  <si>
    <t>COSTOS FIJOS</t>
  </si>
  <si>
    <t>ADMINISTRATIVOS</t>
  </si>
  <si>
    <t>SUELDO ADMINISTRADOR</t>
  </si>
  <si>
    <t xml:space="preserve">GASTOS BÁSICOS </t>
  </si>
  <si>
    <t xml:space="preserve">ARRIENDO LOCAL </t>
  </si>
  <si>
    <t xml:space="preserve">SUELDOS VENDEDORES </t>
  </si>
  <si>
    <t>COSTOS VARIABLES</t>
  </si>
  <si>
    <t>GASTOS MARKETING</t>
  </si>
  <si>
    <t>GASTOS VARIABLES</t>
  </si>
  <si>
    <t>GASTOS BODEGA Y MANTENIMIENTO</t>
  </si>
  <si>
    <t>DEPRECIACIÓN Y AMORTIZACIÓN</t>
  </si>
  <si>
    <t>DEPRECIACIÓN MUEBLES/ENSERES</t>
  </si>
  <si>
    <t>DEPRECIACIÓN EQUIPO DE COMPUTO</t>
  </si>
  <si>
    <t>AMORTIZACIÓN GASTOS PREOPERATIVOS</t>
  </si>
  <si>
    <t>UTILIDAD ANTES INTERESES E IMPUESTOS</t>
  </si>
  <si>
    <t>UTILIDAD ANTES DE IMPUESTOS</t>
  </si>
  <si>
    <t>(15%) TRABAJADORES</t>
  </si>
  <si>
    <t>(22%) IMPUESTOS A LA RENTA</t>
  </si>
  <si>
    <t>UTILIDAD NETA</t>
  </si>
  <si>
    <t>AÑO 1</t>
  </si>
  <si>
    <t>AÑO 2</t>
  </si>
  <si>
    <t>AÑO 3</t>
  </si>
  <si>
    <t>AÑO 4</t>
  </si>
  <si>
    <t>AÑO 5</t>
  </si>
  <si>
    <t>AÑO 6</t>
  </si>
  <si>
    <t>AÑO 7</t>
  </si>
  <si>
    <t>AÑO 8</t>
  </si>
  <si>
    <t>DEPRECIACIÓN</t>
  </si>
  <si>
    <t>MUEBLES</t>
  </si>
  <si>
    <t>10 AÑOS</t>
  </si>
  <si>
    <t>3 AÑOS</t>
  </si>
  <si>
    <t>2 AÑOS</t>
  </si>
  <si>
    <t>* Gastos aumenta 5% anual</t>
  </si>
  <si>
    <t>AMORTIZACIÓN</t>
  </si>
  <si>
    <t>GASTOS PREOPERATIVOS</t>
  </si>
  <si>
    <t>SALDO INICIAL CAJA</t>
  </si>
  <si>
    <t>INGRESOS</t>
  </si>
  <si>
    <t>VENTAS TOTALES</t>
  </si>
  <si>
    <t>IVA COBRADO</t>
  </si>
  <si>
    <t>PRESTAMOS</t>
  </si>
  <si>
    <t>APORTE SOCIOS</t>
  </si>
  <si>
    <t>TOTAL INGRESOS</t>
  </si>
  <si>
    <t>EGRESOS</t>
  </si>
  <si>
    <t xml:space="preserve">COMPRAS DE PRODUCTO </t>
  </si>
  <si>
    <t>INVERSIÓN MUEBLES/ENSERES</t>
  </si>
  <si>
    <t>INVERSIÓN EQUIPO DE COMPUTO</t>
  </si>
  <si>
    <t>GASTOS ADMINISTRATIVOS</t>
  </si>
  <si>
    <t>GASTOS VENTAS</t>
  </si>
  <si>
    <t xml:space="preserve">IMPUESTOS </t>
  </si>
  <si>
    <t>IVA PAGADO POR COMPRAS</t>
  </si>
  <si>
    <t xml:space="preserve">IVA PAGADO POR OPERACIÓN </t>
  </si>
  <si>
    <t>PAGO DIVIDENDOS TRABAJADORES</t>
  </si>
  <si>
    <t>IMPUESTO A LA RENTA PERIODOS ANTERIORES</t>
  </si>
  <si>
    <t>CAPITAL PRESTAMO</t>
  </si>
  <si>
    <t>TOTAL EGRESOS</t>
  </si>
  <si>
    <t xml:space="preserve">PRESUPUESTO PROYECTADO DE MARKETING </t>
  </si>
  <si>
    <t>AÑO 2014</t>
  </si>
  <si>
    <t>AÑO 2015</t>
  </si>
  <si>
    <t>AÑO 2016</t>
  </si>
  <si>
    <t>AÑO 2017</t>
  </si>
  <si>
    <t>AÑO 2018</t>
  </si>
  <si>
    <t>AÑO 2019</t>
  </si>
  <si>
    <t>AÑO 2020</t>
  </si>
  <si>
    <t>AÑO 2021</t>
  </si>
  <si>
    <t>DETALLE</t>
  </si>
  <si>
    <t>ENE-JUN</t>
  </si>
  <si>
    <t>JUL-DIC</t>
  </si>
  <si>
    <t>UNIDADES AL AÑO VENDIDAS NORMAL</t>
  </si>
  <si>
    <t>UNIDADES POR MES VENDIDAS NORMAL</t>
  </si>
  <si>
    <t xml:space="preserve"> SOUVENIRS</t>
  </si>
  <si>
    <t>PULSERAS</t>
  </si>
  <si>
    <t>PRECIO DE VENTA</t>
  </si>
  <si>
    <t>VALOR $ ANUAL</t>
  </si>
  <si>
    <t>LLAVEROS</t>
  </si>
  <si>
    <t>VENTAS AL AÑO SIN MARKETING</t>
  </si>
  <si>
    <t>JARROS</t>
  </si>
  <si>
    <t>VENTAS CON MARKETING</t>
  </si>
  <si>
    <t xml:space="preserve">VUELOS EN GLOBO </t>
  </si>
  <si>
    <t>VIAJE EN GLOBO</t>
  </si>
  <si>
    <t>INVERSIÓN EN MARKETING</t>
  </si>
  <si>
    <t xml:space="preserve">GENERALES PARA PARTIDOS DE LA SELECCIÓN </t>
  </si>
  <si>
    <t>INCREMENTAL DE LAS ACT. DE MKT</t>
  </si>
  <si>
    <t xml:space="preserve">SORTEO DE ORDENES DE COMPRA </t>
  </si>
  <si>
    <t>OPCIÓN 1</t>
  </si>
  <si>
    <t xml:space="preserve">ROI MKT </t>
  </si>
  <si>
    <t>OPCIÓN 2</t>
  </si>
  <si>
    <t>OPCIÓN 3</t>
  </si>
  <si>
    <t>FACEBOOK</t>
  </si>
  <si>
    <t>PUBLICIDAD</t>
  </si>
  <si>
    <t>VALLAS</t>
  </si>
  <si>
    <t>BTLS</t>
  </si>
  <si>
    <t>ACCESORIOS DE TIENDA</t>
  </si>
  <si>
    <t>TARJETAS DE PUNTOS</t>
  </si>
  <si>
    <t>ACTIVOS</t>
  </si>
  <si>
    <t>ACTIVOS CIRCULANTES</t>
  </si>
  <si>
    <t>CUENTAS POR COBRAR</t>
  </si>
  <si>
    <t>ACTIVOS DIFERIDOS</t>
  </si>
  <si>
    <t>EQUIPO DE COMPUTO</t>
  </si>
  <si>
    <t>(-) DEPRECIACIÓN AC. MUEBLES/ENSERES</t>
  </si>
  <si>
    <t>(-) DEPRECIACIÓN AC. EQUIPO DE COMPUTO</t>
  </si>
  <si>
    <t>TOTAL ACTIVOS</t>
  </si>
  <si>
    <t xml:space="preserve">PASIVOS </t>
  </si>
  <si>
    <t>CUENTAS POR PAGAR</t>
  </si>
  <si>
    <t xml:space="preserve">DEUDA A LARGO PLAZO </t>
  </si>
  <si>
    <t>IMPUESTO A LA RENTA POR PAGAR</t>
  </si>
  <si>
    <t xml:space="preserve">TOTAL PASIVOS </t>
  </si>
  <si>
    <t>(-) AMORTIZACIÓN PREOPERATIVOS AC.</t>
  </si>
  <si>
    <t>FLUJOS DEL PROYECTO</t>
  </si>
  <si>
    <t>TIR</t>
  </si>
  <si>
    <t>VAN</t>
  </si>
  <si>
    <t>BALANCE GENERAL PROYECTADO</t>
  </si>
  <si>
    <t xml:space="preserve">ESTADO DE RESULTADOS </t>
  </si>
  <si>
    <t>ROTACIÓN CXP</t>
  </si>
  <si>
    <t>ROTACION INVENTARIO</t>
  </si>
  <si>
    <t>$175 C/MES</t>
  </si>
  <si>
    <t>$700 C/MES (2 VEND.)</t>
  </si>
  <si>
    <t>GASTOS ADECUACIÓN LOCAL</t>
  </si>
  <si>
    <t>GASTO ADECUACIÓN LOCAL</t>
  </si>
  <si>
    <t>GARANTIA LOCAL</t>
  </si>
  <si>
    <t>SUELDO CONTADOR</t>
  </si>
  <si>
    <t>PATRIMONIO</t>
  </si>
  <si>
    <t>IVA POR PAGAR</t>
  </si>
  <si>
    <t>$300 C/MES</t>
  </si>
  <si>
    <t>$1400 C/MES</t>
  </si>
  <si>
    <t>2 MENSUALIDADES ARRIENDO</t>
  </si>
  <si>
    <t>DEPRECIACIÓN AC.</t>
  </si>
  <si>
    <t>EQUIPO COMPUTO</t>
  </si>
  <si>
    <t>$1000 C/trimestre</t>
  </si>
  <si>
    <t>COSTO DE COMPRA INICIAL POR TALLA</t>
  </si>
  <si>
    <t>COSTO UNITARIO</t>
  </si>
  <si>
    <t>AUMENTA 5% COSTO DEL 2015</t>
  </si>
  <si>
    <t>MISMO COSTO 2014</t>
  </si>
  <si>
    <t>MISMO COSTO 2016</t>
  </si>
  <si>
    <t>AUMENTA 5% COSTO DEL 2017</t>
  </si>
  <si>
    <t>MISMO COSTO 2018</t>
  </si>
  <si>
    <t>AUMENTA 5% COSTO 2019</t>
  </si>
  <si>
    <t>MISMO COSTO 2020</t>
  </si>
  <si>
    <t>ctas x c</t>
  </si>
  <si>
    <t>caja-bancos</t>
  </si>
  <si>
    <t>ventas</t>
  </si>
  <si>
    <t>iva</t>
  </si>
  <si>
    <t>inventario</t>
  </si>
  <si>
    <t>ctas x p</t>
  </si>
  <si>
    <t>xxxx-01---- compras</t>
  </si>
  <si>
    <t>xxxx-02---- ventas</t>
  </si>
  <si>
    <t>xxxx-03---- COSTO DE VENTAS</t>
  </si>
  <si>
    <t>costo de ventas</t>
  </si>
  <si>
    <t xml:space="preserve">inventario </t>
  </si>
  <si>
    <t>gastos fianciero</t>
  </si>
  <si>
    <t xml:space="preserve">Prestamo x P </t>
  </si>
  <si>
    <t>caja bancos</t>
  </si>
  <si>
    <t>xxxx-04---- Compras año final</t>
  </si>
  <si>
    <t>xxxx-05---- Caja operativa</t>
  </si>
  <si>
    <t>caja operativa</t>
  </si>
  <si>
    <t>xxxx-06---- compra activos</t>
  </si>
  <si>
    <t>activos fijos</t>
  </si>
  <si>
    <t>xxxx-07---- depreciacion activos</t>
  </si>
  <si>
    <t>gasto depreciacion</t>
  </si>
  <si>
    <t>depreciacion acumualado</t>
  </si>
  <si>
    <t>xxxx-08---- gastos operacionales</t>
  </si>
  <si>
    <t>xxxx-09---- amortizacion</t>
  </si>
  <si>
    <t>xxxx-10---- gastos operacionales</t>
  </si>
  <si>
    <t>gastos cosntitucions (activo)</t>
  </si>
  <si>
    <t>gastos administrativos</t>
  </si>
  <si>
    <t>gastos de ventas</t>
  </si>
  <si>
    <t>costos variables</t>
  </si>
  <si>
    <t>restultado ejercicio</t>
  </si>
  <si>
    <t>impto rta por pagar</t>
  </si>
  <si>
    <t>trabajadores 15%</t>
  </si>
  <si>
    <t>xxxx-11----PROVISION DE impuesto rta. Y trabajadores</t>
  </si>
  <si>
    <t>xxxx-12---- CANCELACION impuesto rta. Y trabajadores AÑO ANTERIOR</t>
  </si>
  <si>
    <t>gastos financieros</t>
  </si>
  <si>
    <t>resultado del ejericio</t>
  </si>
  <si>
    <t>CAJA - BANCOS</t>
  </si>
  <si>
    <t>TRABAJADORES POR PAGAR</t>
  </si>
  <si>
    <t>xxxx-0A---- prestamo inicial</t>
  </si>
  <si>
    <t>xxxx-0B---- pago prestamo e intereses</t>
  </si>
  <si>
    <t>capital social</t>
  </si>
  <si>
    <t>DEPRECIACION ANUAL</t>
  </si>
  <si>
    <t>DEP-ACUMULADA</t>
  </si>
  <si>
    <t>xxxx-01 AA---- CANCELACION SALDO CTAS POR PAGAR AÑO ANTERIOR</t>
  </si>
  <si>
    <t>Ctas por cobrar</t>
  </si>
  <si>
    <t>xxxx-02 AA---- COBRO SALDO CTAS POR COBRAR AÑO ANTERIOR</t>
  </si>
  <si>
    <t>xxxx-03 CCCCCC---- CANCELACION DE SALDO DE IVA AL SRIS AÑO ANTERIOR</t>
  </si>
  <si>
    <t>Caja -  bancos</t>
  </si>
  <si>
    <t>RESULTADOS ACUMULADAS</t>
  </si>
  <si>
    <t>RESULTADOS DEL PERIODO</t>
  </si>
  <si>
    <t xml:space="preserve">DEBE </t>
  </si>
  <si>
    <t>HABER</t>
  </si>
  <si>
    <t>SALDO</t>
  </si>
  <si>
    <t>CAJA OPERATIVA 2% VENTAS</t>
  </si>
  <si>
    <t>$600 C/MES</t>
  </si>
  <si>
    <t>TWITTER</t>
  </si>
  <si>
    <t>SORTEO ENTRADAS FÚTBOL</t>
  </si>
  <si>
    <t>VENTAS SIN MARKETING MARKETING</t>
  </si>
  <si>
    <t>ITEMS</t>
  </si>
  <si>
    <t>TOTAL UNIDADES</t>
  </si>
  <si>
    <t>VALOR UNITARIO</t>
  </si>
  <si>
    <t>VALOR FOB</t>
  </si>
  <si>
    <t>FLETE + SEGURO</t>
  </si>
  <si>
    <t>VALOR UNIT. + FLETE Y SEGURO</t>
  </si>
  <si>
    <t>TOTAL CIF</t>
  </si>
  <si>
    <t>COSTOS DE IMPORTACIÓN EN  ECUADOR</t>
  </si>
  <si>
    <t>PRECIO IMPORTACIÓN</t>
  </si>
  <si>
    <t xml:space="preserve">INCREMENTO AL VALOR UNITARIO PRODUCTO DE LA IMPORTACIÓN   </t>
  </si>
  <si>
    <t>VALOR TOTAL DE LA IMPORTACIÓN</t>
  </si>
  <si>
    <t>TOTALES</t>
  </si>
  <si>
    <t xml:space="preserve">DETALLE UNIDADES COMPRADAS </t>
  </si>
  <si>
    <t>TOTAL DE COMPRA</t>
  </si>
  <si>
    <t>INEN 1</t>
  </si>
  <si>
    <t>INEN RTE013</t>
  </si>
  <si>
    <t>ALMACENAMIENTO ADUANA (0,3% (FOB)</t>
  </si>
  <si>
    <t>AGENTE DE ADUANAS</t>
  </si>
  <si>
    <t>FODINFA (0,5% CIF)</t>
  </si>
  <si>
    <t>ADVALOREM (10% CIF)</t>
  </si>
  <si>
    <t>IMPUESTO SALIDA DE DIVISAS 5% FOB</t>
  </si>
  <si>
    <t>IMPREVISTOS</t>
  </si>
  <si>
    <t>COSTO DESADUANIZACION GUAYAQUIL</t>
  </si>
  <si>
    <t>TRANSPORTE GYE - QUITO</t>
  </si>
  <si>
    <t>COSTO BODEGA QUITO</t>
  </si>
  <si>
    <t>IVA 12%</t>
  </si>
  <si>
    <t>IMPORTACION VÍA MARÍTIMA</t>
  </si>
  <si>
    <t>FLETE CALLAO - GYE</t>
  </si>
  <si>
    <t>FOB PTO. CALLAO</t>
  </si>
  <si>
    <t>SEGURO BODEGA - BODEGA (0,5% FOB)</t>
  </si>
  <si>
    <t>VALOR CIF</t>
  </si>
  <si>
    <t>TOTAL FACTURA SIN IVA</t>
  </si>
  <si>
    <t>$1100 C/MES</t>
  </si>
  <si>
    <t xml:space="preserve">INVENTARIO SE LIQUIDA AL FINAL DE CADA AÑO </t>
  </si>
  <si>
    <t>xxxx-0C---- capital</t>
  </si>
  <si>
    <t>gastos preoperativos (activo)</t>
  </si>
  <si>
    <t>gastos amortizacion preoperativos</t>
  </si>
  <si>
    <t>PASIVOS CORTO PLAZO</t>
  </si>
  <si>
    <t>PASIVOS LARGO PLAZO</t>
  </si>
  <si>
    <t>TOTAL COSTOS VARIABLES</t>
  </si>
  <si>
    <t>TOTAL COSTOS FIJOS VENTAS</t>
  </si>
  <si>
    <t>TOTAL COSTOS FIJOS ADMINISTRATIVOS</t>
  </si>
  <si>
    <t>TOTAL DEPRECIACIÓN Y AMORTIZACIÓN</t>
  </si>
  <si>
    <t>(-) COSTO DE VENTAS</t>
  </si>
  <si>
    <t>ACTIVOS FIJOS CONSOLIDADOS</t>
  </si>
  <si>
    <t>ROI DE MARKETING</t>
  </si>
  <si>
    <t>INCREMENTAL VENTAS CON MARKETING</t>
  </si>
  <si>
    <t>PVP PRODUCTOS</t>
  </si>
  <si>
    <t>PVP</t>
  </si>
  <si>
    <t>CV UNITARIO</t>
  </si>
  <si>
    <t>CV TOTAL</t>
  </si>
  <si>
    <t>% DE VENTAS</t>
  </si>
  <si>
    <t>(1-CV UNI. TOTAL / PVP)</t>
  </si>
  <si>
    <t>CONTRIBUCIÓN MARGINAL</t>
  </si>
  <si>
    <t>(1-CV UNI. TOTAL / PVP)* %VENTAS</t>
  </si>
  <si>
    <t>PUNTO EQUILIBRIO DOLARES</t>
  </si>
  <si>
    <t>PUNTO EQUILIBRIO UNIDADES</t>
  </si>
  <si>
    <t>PUNTO DE EQUILIBRIO DÓLARES</t>
  </si>
  <si>
    <t>PUNTO DE EQUILIBRIO UNIDADES</t>
  </si>
  <si>
    <t>ROTACIÓN CUENTAS POR COBRAR</t>
  </si>
  <si>
    <t>PROYECCIONES E INDICADORES</t>
  </si>
  <si>
    <t>INICIAL</t>
  </si>
  <si>
    <t xml:space="preserve">INCREMENTO TOTAL POR IMPORTACIÓN EN ECUADOR </t>
  </si>
  <si>
    <t>FLUJOS PROYECTADOS</t>
  </si>
  <si>
    <t>AJUSTE DE IVA</t>
  </si>
  <si>
    <t xml:space="preserve">IVA A PAGAR </t>
  </si>
</sst>
</file>

<file path=xl/styles.xml><?xml version="1.0" encoding="utf-8"?>
<styleSheet xmlns="http://schemas.openxmlformats.org/spreadsheetml/2006/main">
  <numFmts count="6">
    <numFmt numFmtId="8" formatCode="&quot;$&quot;\ #,##0.00_);[Red]\(&quot;$&quot;\ #,##0.00\)"/>
    <numFmt numFmtId="44" formatCode="_(&quot;$&quot;\ * #,##0.00_);_(&quot;$&quot;\ * \(#,##0.00\);_(&quot;$&quot;\ * &quot;-&quot;??_);_(@_)"/>
    <numFmt numFmtId="164" formatCode="0.0"/>
    <numFmt numFmtId="165" formatCode="_ &quot;$&quot;\ * #,##0.00_ ;_ &quot;$&quot;\ * \-#,##0.00_ ;_ &quot;$&quot;\ * &quot;-&quot;??_ ;_ @_ "/>
    <numFmt numFmtId="166" formatCode="_(&quot;$&quot;* #,##0.00_);_(&quot;$&quot;* \(#,##0.00\);_(&quot;$&quot;* &quot;-&quot;??_);_(@_)"/>
    <numFmt numFmtId="167" formatCode="0.000%"/>
  </numFmts>
  <fonts count="2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u/>
      <sz val="11"/>
      <color theme="1"/>
      <name val="Calibri"/>
      <family val="2"/>
      <scheme val="minor"/>
    </font>
    <font>
      <b/>
      <u/>
      <sz val="10"/>
      <name val="Arial"/>
      <family val="2"/>
    </font>
    <font>
      <sz val="10"/>
      <color theme="1"/>
      <name val="Arial"/>
      <family val="2"/>
    </font>
    <font>
      <sz val="10"/>
      <name val="Calibri"/>
      <family val="2"/>
      <scheme val="minor"/>
    </font>
    <font>
      <sz val="9"/>
      <name val="Arial"/>
      <family val="2"/>
    </font>
    <font>
      <b/>
      <sz val="12"/>
      <name val="Arial"/>
      <family val="2"/>
    </font>
    <font>
      <b/>
      <sz val="10"/>
      <color theme="1"/>
      <name val="Arial"/>
      <family val="2"/>
    </font>
    <font>
      <b/>
      <sz val="16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Arial"/>
      <family val="2"/>
    </font>
    <font>
      <sz val="8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28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5" fillId="0" borderId="0"/>
    <xf numFmtId="166" fontId="5" fillId="0" borderId="0" applyFont="0" applyFill="0" applyBorder="0" applyAlignment="0" applyProtection="0"/>
  </cellStyleXfs>
  <cellXfs count="350">
    <xf numFmtId="0" fontId="0" fillId="0" borderId="0" xfId="0"/>
    <xf numFmtId="44" fontId="0" fillId="0" borderId="0" xfId="1" applyFont="1" applyAlignment="1">
      <alignment horizontal="center"/>
    </xf>
    <xf numFmtId="164" fontId="0" fillId="0" borderId="0" xfId="0" applyNumberFormat="1" applyAlignment="1">
      <alignment horizontal="center"/>
    </xf>
    <xf numFmtId="44" fontId="0" fillId="0" borderId="0" xfId="0" applyNumberFormat="1" applyAlignment="1">
      <alignment horizontal="center"/>
    </xf>
    <xf numFmtId="166" fontId="0" fillId="0" borderId="0" xfId="0" applyNumberFormat="1"/>
    <xf numFmtId="0" fontId="0" fillId="0" borderId="0" xfId="0"/>
    <xf numFmtId="0" fontId="9" fillId="0" borderId="0" xfId="3" applyFont="1"/>
    <xf numFmtId="0" fontId="5" fillId="0" borderId="0" xfId="3" applyFont="1"/>
    <xf numFmtId="14" fontId="10" fillId="0" borderId="0" xfId="3" applyNumberFormat="1" applyFont="1" applyBorder="1" applyAlignment="1">
      <alignment horizontal="right"/>
    </xf>
    <xf numFmtId="44" fontId="5" fillId="0" borderId="0" xfId="3" applyNumberFormat="1" applyFont="1"/>
    <xf numFmtId="0" fontId="7" fillId="0" borderId="0" xfId="3" applyFont="1"/>
    <xf numFmtId="166" fontId="7" fillId="0" borderId="0" xfId="3" applyNumberFormat="1" applyFont="1"/>
    <xf numFmtId="0" fontId="4" fillId="0" borderId="0" xfId="3" applyFont="1" applyFill="1"/>
    <xf numFmtId="0" fontId="5" fillId="0" borderId="0" xfId="3" applyFont="1" applyFill="1"/>
    <xf numFmtId="0" fontId="5" fillId="0" borderId="0" xfId="3" applyFont="1" applyBorder="1"/>
    <xf numFmtId="167" fontId="5" fillId="0" borderId="0" xfId="3" applyNumberFormat="1" applyFont="1" applyFill="1" applyBorder="1" applyAlignment="1">
      <alignment horizontal="right"/>
    </xf>
    <xf numFmtId="1" fontId="5" fillId="0" borderId="0" xfId="3" applyNumberFormat="1" applyFont="1" applyFill="1" applyBorder="1" applyAlignment="1">
      <alignment horizontal="right"/>
    </xf>
    <xf numFmtId="0" fontId="5" fillId="0" borderId="4" xfId="3" applyFont="1" applyBorder="1"/>
    <xf numFmtId="14" fontId="5" fillId="0" borderId="4" xfId="3" applyNumberFormat="1" applyFont="1" applyFill="1" applyBorder="1" applyAlignment="1">
      <alignment horizontal="right"/>
    </xf>
    <xf numFmtId="0" fontId="5" fillId="0" borderId="6" xfId="3" applyFont="1" applyBorder="1"/>
    <xf numFmtId="166" fontId="5" fillId="0" borderId="6" xfId="3" applyNumberFormat="1" applyFont="1" applyFill="1" applyBorder="1" applyAlignment="1">
      <alignment horizontal="right"/>
    </xf>
    <xf numFmtId="0" fontId="5" fillId="0" borderId="0" xfId="3" applyFont="1" applyBorder="1" applyAlignment="1">
      <alignment horizontal="center" wrapText="1"/>
    </xf>
    <xf numFmtId="166" fontId="5" fillId="0" borderId="0" xfId="4" applyFont="1" applyBorder="1" applyAlignment="1">
      <alignment horizontal="center" wrapText="1"/>
    </xf>
    <xf numFmtId="0" fontId="4" fillId="0" borderId="6" xfId="3" applyFont="1" applyBorder="1" applyAlignment="1">
      <alignment horizontal="center" wrapText="1"/>
    </xf>
    <xf numFmtId="166" fontId="4" fillId="0" borderId="6" xfId="3" applyNumberFormat="1" applyFont="1" applyFill="1" applyBorder="1" applyAlignment="1">
      <alignment horizontal="center" wrapText="1"/>
    </xf>
    <xf numFmtId="0" fontId="5" fillId="0" borderId="4" xfId="3" applyFont="1" applyBorder="1" applyAlignment="1">
      <alignment horizontal="center"/>
    </xf>
    <xf numFmtId="166" fontId="5" fillId="0" borderId="4" xfId="4" applyFont="1" applyBorder="1" applyAlignment="1">
      <alignment horizontal="center" wrapText="1"/>
    </xf>
    <xf numFmtId="0" fontId="5" fillId="0" borderId="6" xfId="3" applyFont="1" applyBorder="1" applyAlignment="1">
      <alignment horizontal="center" wrapText="1"/>
    </xf>
    <xf numFmtId="166" fontId="5" fillId="0" borderId="6" xfId="4" applyFont="1" applyFill="1" applyBorder="1" applyAlignment="1">
      <alignment horizontal="center" wrapText="1"/>
    </xf>
    <xf numFmtId="166" fontId="5" fillId="0" borderId="6" xfId="4" applyFont="1" applyBorder="1" applyAlignment="1">
      <alignment horizontal="center" wrapText="1"/>
    </xf>
    <xf numFmtId="0" fontId="12" fillId="0" borderId="6" xfId="0" applyNumberFormat="1" applyFont="1" applyBorder="1" applyAlignment="1">
      <alignment horizontal="center"/>
    </xf>
    <xf numFmtId="0" fontId="4" fillId="0" borderId="6" xfId="4" applyNumberFormat="1" applyFont="1" applyBorder="1" applyAlignment="1">
      <alignment horizontal="center" wrapText="1"/>
    </xf>
    <xf numFmtId="166" fontId="5" fillId="0" borderId="4" xfId="3" applyNumberFormat="1" applyFont="1" applyBorder="1"/>
    <xf numFmtId="166" fontId="5" fillId="0" borderId="6" xfId="3" applyNumberFormat="1" applyFont="1" applyBorder="1"/>
    <xf numFmtId="0" fontId="15" fillId="0" borderId="3" xfId="0" applyFont="1" applyBorder="1" applyAlignment="1"/>
    <xf numFmtId="44" fontId="0" fillId="0" borderId="0" xfId="0" applyNumberFormat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165" fontId="4" fillId="0" borderId="0" xfId="0" applyNumberFormat="1" applyFont="1" applyFill="1" applyBorder="1" applyAlignment="1">
      <alignment horizontal="left"/>
    </xf>
    <xf numFmtId="0" fontId="16" fillId="0" borderId="0" xfId="0" applyFont="1" applyAlignment="1">
      <alignment horizontal="left"/>
    </xf>
    <xf numFmtId="44" fontId="0" fillId="0" borderId="4" xfId="0" applyNumberFormat="1" applyBorder="1" applyAlignment="1">
      <alignment horizontal="center"/>
    </xf>
    <xf numFmtId="44" fontId="2" fillId="0" borderId="4" xfId="1" applyFont="1" applyBorder="1" applyAlignment="1">
      <alignment horizontal="center"/>
    </xf>
    <xf numFmtId="44" fontId="2" fillId="0" borderId="0" xfId="0" applyNumberFormat="1" applyFont="1" applyAlignment="1">
      <alignment horizontal="center"/>
    </xf>
    <xf numFmtId="165" fontId="4" fillId="0" borderId="0" xfId="0" applyNumberFormat="1" applyFont="1" applyFill="1" applyBorder="1"/>
    <xf numFmtId="165" fontId="8" fillId="0" borderId="0" xfId="0" applyNumberFormat="1" applyFont="1" applyFill="1" applyBorder="1"/>
    <xf numFmtId="165" fontId="4" fillId="0" borderId="4" xfId="0" applyNumberFormat="1" applyFont="1" applyFill="1" applyBorder="1"/>
    <xf numFmtId="165" fontId="4" fillId="0" borderId="4" xfId="0" applyNumberFormat="1" applyFont="1" applyFill="1" applyBorder="1" applyAlignment="1">
      <alignment horizontal="center"/>
    </xf>
    <xf numFmtId="0" fontId="0" fillId="0" borderId="0" xfId="0"/>
    <xf numFmtId="0" fontId="0" fillId="0" borderId="0" xfId="0" applyFill="1" applyBorder="1" applyAlignment="1">
      <alignment horizontal="center" vertical="center" wrapText="1"/>
    </xf>
    <xf numFmtId="44" fontId="0" fillId="0" borderId="0" xfId="1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44" fontId="0" fillId="0" borderId="0" xfId="1" applyFont="1" applyFill="1" applyBorder="1" applyAlignment="1">
      <alignment horizontal="center" vertical="center" wrapText="1"/>
    </xf>
    <xf numFmtId="44" fontId="0" fillId="0" borderId="0" xfId="1" applyFont="1" applyAlignment="1">
      <alignment horizontal="center" vertical="center" wrapText="1"/>
    </xf>
    <xf numFmtId="9" fontId="0" fillId="0" borderId="0" xfId="2" applyFont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44" fontId="0" fillId="0" borderId="0" xfId="0" applyNumberFormat="1" applyBorder="1" applyAlignment="1">
      <alignment horizontal="center" vertical="center" wrapText="1"/>
    </xf>
    <xf numFmtId="1" fontId="0" fillId="0" borderId="0" xfId="0" applyNumberForma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44" fontId="0" fillId="0" borderId="4" xfId="1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1" fontId="0" fillId="0" borderId="5" xfId="0" applyNumberFormat="1" applyBorder="1" applyAlignment="1">
      <alignment horizontal="center" vertical="center" wrapText="1"/>
    </xf>
    <xf numFmtId="0" fontId="0" fillId="2" borderId="0" xfId="0" applyFill="1" applyBorder="1" applyAlignment="1">
      <alignment horizontal="center" vertical="center" wrapText="1"/>
    </xf>
    <xf numFmtId="0" fontId="0" fillId="0" borderId="0" xfId="0" applyNumberFormat="1" applyBorder="1" applyAlignment="1">
      <alignment horizontal="center" vertical="center" wrapText="1"/>
    </xf>
    <xf numFmtId="0" fontId="0" fillId="2" borderId="0" xfId="0" applyNumberFormat="1" applyFill="1" applyBorder="1" applyAlignment="1">
      <alignment horizontal="center" vertical="center" wrapText="1"/>
    </xf>
    <xf numFmtId="9" fontId="2" fillId="0" borderId="6" xfId="2" applyFont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0" fillId="0" borderId="4" xfId="0" applyNumberFormat="1" applyFill="1" applyBorder="1" applyAlignment="1">
      <alignment horizontal="center" vertical="center" wrapText="1"/>
    </xf>
    <xf numFmtId="44" fontId="2" fillId="0" borderId="4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9" fontId="6" fillId="0" borderId="0" xfId="2" applyNumberFormat="1" applyFont="1" applyAlignment="1">
      <alignment horizontal="center" vertical="center" wrapText="1"/>
    </xf>
    <xf numFmtId="9" fontId="6" fillId="0" borderId="0" xfId="2" applyFont="1" applyAlignment="1">
      <alignment horizontal="center" vertical="center" wrapText="1"/>
    </xf>
    <xf numFmtId="1" fontId="2" fillId="0" borderId="4" xfId="0" applyNumberFormat="1" applyFont="1" applyBorder="1" applyAlignment="1">
      <alignment horizontal="center" vertical="center" wrapText="1"/>
    </xf>
    <xf numFmtId="44" fontId="0" fillId="0" borderId="5" xfId="0" applyNumberFormat="1" applyBorder="1" applyAlignment="1">
      <alignment horizontal="center"/>
    </xf>
    <xf numFmtId="9" fontId="0" fillId="0" borderId="0" xfId="0" applyNumberFormat="1" applyAlignment="1">
      <alignment horizontal="center"/>
    </xf>
    <xf numFmtId="0" fontId="0" fillId="0" borderId="0" xfId="0"/>
    <xf numFmtId="165" fontId="5" fillId="0" borderId="0" xfId="0" applyNumberFormat="1" applyFont="1" applyFill="1" applyBorder="1"/>
    <xf numFmtId="44" fontId="0" fillId="0" borderId="0" xfId="1" applyFont="1" applyBorder="1" applyAlignment="1">
      <alignment horizontal="center"/>
    </xf>
    <xf numFmtId="0" fontId="5" fillId="0" borderId="0" xfId="0" applyFont="1" applyFill="1" applyBorder="1"/>
    <xf numFmtId="0" fontId="4" fillId="0" borderId="0" xfId="0" applyFont="1" applyFill="1" applyBorder="1" applyAlignment="1">
      <alignment horizontal="center"/>
    </xf>
    <xf numFmtId="165" fontId="4" fillId="0" borderId="0" xfId="0" applyNumberFormat="1" applyFont="1" applyFill="1" applyBorder="1" applyAlignment="1">
      <alignment horizontal="center"/>
    </xf>
    <xf numFmtId="0" fontId="4" fillId="0" borderId="0" xfId="0" applyFont="1" applyFill="1" applyBorder="1"/>
    <xf numFmtId="0" fontId="5" fillId="0" borderId="0" xfId="0" applyFont="1" applyFill="1" applyBorder="1" applyAlignment="1">
      <alignment horizontal="left"/>
    </xf>
    <xf numFmtId="0" fontId="5" fillId="0" borderId="0" xfId="0" applyFont="1" applyFill="1" applyBorder="1" applyAlignment="1"/>
    <xf numFmtId="165" fontId="4" fillId="0" borderId="6" xfId="0" applyNumberFormat="1" applyFont="1" applyFill="1" applyBorder="1" applyAlignment="1">
      <alignment horizontal="center"/>
    </xf>
    <xf numFmtId="0" fontId="5" fillId="0" borderId="4" xfId="0" applyFont="1" applyFill="1" applyBorder="1"/>
    <xf numFmtId="0" fontId="4" fillId="0" borderId="4" xfId="0" applyFont="1" applyFill="1" applyBorder="1"/>
    <xf numFmtId="165" fontId="5" fillId="0" borderId="0" xfId="0" applyNumberFormat="1" applyFont="1" applyFill="1" applyBorder="1" applyAlignment="1">
      <alignment horizontal="left"/>
    </xf>
    <xf numFmtId="44" fontId="0" fillId="0" borderId="4" xfId="1" applyFont="1" applyBorder="1" applyAlignment="1">
      <alignment horizontal="center"/>
    </xf>
    <xf numFmtId="0" fontId="0" fillId="0" borderId="4" xfId="0" applyBorder="1" applyAlignment="1">
      <alignment horizontal="center"/>
    </xf>
    <xf numFmtId="1" fontId="0" fillId="0" borderId="0" xfId="0" applyNumberFormat="1" applyAlignment="1">
      <alignment horizontal="center"/>
    </xf>
    <xf numFmtId="8" fontId="0" fillId="0" borderId="0" xfId="0" applyNumberFormat="1" applyAlignment="1">
      <alignment horizontal="center"/>
    </xf>
    <xf numFmtId="0" fontId="2" fillId="0" borderId="10" xfId="0" applyFont="1" applyBorder="1" applyAlignment="1">
      <alignment horizontal="center"/>
    </xf>
    <xf numFmtId="0" fontId="0" fillId="0" borderId="1" xfId="0" applyBorder="1" applyAlignment="1">
      <alignment horizontal="center"/>
    </xf>
    <xf numFmtId="44" fontId="0" fillId="0" borderId="11" xfId="1" applyFont="1" applyBorder="1" applyAlignment="1">
      <alignment horizontal="center"/>
    </xf>
    <xf numFmtId="44" fontId="0" fillId="0" borderId="13" xfId="1" applyFont="1" applyBorder="1" applyAlignment="1">
      <alignment horizontal="center"/>
    </xf>
    <xf numFmtId="44" fontId="0" fillId="0" borderId="14" xfId="1" applyFont="1" applyBorder="1" applyAlignment="1">
      <alignment horizontal="center"/>
    </xf>
    <xf numFmtId="0" fontId="0" fillId="0" borderId="11" xfId="0" applyBorder="1" applyAlignment="1">
      <alignment horizontal="center"/>
    </xf>
    <xf numFmtId="1" fontId="0" fillId="0" borderId="0" xfId="0" applyNumberFormat="1" applyBorder="1" applyAlignment="1">
      <alignment horizontal="center"/>
    </xf>
    <xf numFmtId="1" fontId="0" fillId="0" borderId="11" xfId="0" applyNumberFormat="1" applyBorder="1" applyAlignment="1">
      <alignment horizontal="center"/>
    </xf>
    <xf numFmtId="0" fontId="0" fillId="0" borderId="13" xfId="0" applyBorder="1" applyAlignment="1">
      <alignment horizontal="center"/>
    </xf>
    <xf numFmtId="1" fontId="2" fillId="0" borderId="0" xfId="0" applyNumberFormat="1" applyFont="1" applyAlignment="1">
      <alignment horizontal="center"/>
    </xf>
    <xf numFmtId="44" fontId="0" fillId="0" borderId="0" xfId="1" applyFont="1" applyFill="1" applyBorder="1" applyAlignment="1">
      <alignment horizontal="center"/>
    </xf>
    <xf numFmtId="44" fontId="2" fillId="0" borderId="0" xfId="0" applyNumberFormat="1" applyFont="1" applyBorder="1" applyAlignment="1">
      <alignment horizontal="center"/>
    </xf>
    <xf numFmtId="44" fontId="2" fillId="0" borderId="4" xfId="0" applyNumberFormat="1" applyFont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44" fontId="2" fillId="0" borderId="0" xfId="1" applyFont="1" applyAlignment="1">
      <alignment horizontal="center"/>
    </xf>
    <xf numFmtId="44" fontId="2" fillId="0" borderId="0" xfId="1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44" fontId="0" fillId="0" borderId="0" xfId="0" applyNumberFormat="1" applyFill="1" applyBorder="1" applyAlignment="1">
      <alignment horizontal="center"/>
    </xf>
    <xf numFmtId="44" fontId="2" fillId="0" borderId="0" xfId="0" applyNumberFormat="1" applyFont="1" applyFill="1" applyBorder="1" applyAlignment="1">
      <alignment horizontal="center"/>
    </xf>
    <xf numFmtId="0" fontId="0" fillId="4" borderId="0" xfId="0" applyFill="1" applyAlignment="1">
      <alignment horizontal="center"/>
    </xf>
    <xf numFmtId="0" fontId="0" fillId="0" borderId="0" xfId="0" applyFill="1" applyAlignment="1">
      <alignment horizontal="center"/>
    </xf>
    <xf numFmtId="0" fontId="0" fillId="0" borderId="6" xfId="0" applyBorder="1" applyAlignment="1">
      <alignment horizontal="center"/>
    </xf>
    <xf numFmtId="44" fontId="18" fillId="3" borderId="0" xfId="1" applyFont="1" applyFill="1" applyBorder="1" applyAlignment="1">
      <alignment horizontal="center"/>
    </xf>
    <xf numFmtId="0" fontId="2" fillId="0" borderId="11" xfId="0" applyFont="1" applyBorder="1" applyAlignment="1">
      <alignment horizontal="center"/>
    </xf>
    <xf numFmtId="44" fontId="0" fillId="0" borderId="6" xfId="1" applyFont="1" applyBorder="1" applyAlignment="1">
      <alignment horizontal="center"/>
    </xf>
    <xf numFmtId="0" fontId="2" fillId="0" borderId="0" xfId="0" applyFont="1" applyBorder="1" applyAlignment="1"/>
    <xf numFmtId="0" fontId="13" fillId="0" borderId="0" xfId="0" applyFont="1" applyFill="1" applyAlignment="1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44" fontId="0" fillId="0" borderId="0" xfId="1" applyFont="1" applyAlignment="1">
      <alignment horizontal="center" vertical="center"/>
    </xf>
    <xf numFmtId="0" fontId="0" fillId="0" borderId="0" xfId="0" applyFill="1" applyBorder="1" applyAlignment="1">
      <alignment horizontal="left"/>
    </xf>
    <xf numFmtId="0" fontId="2" fillId="0" borderId="0" xfId="0" applyFont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0" xfId="0" applyAlignment="1">
      <alignment horizontal="left"/>
    </xf>
    <xf numFmtId="0" fontId="0" fillId="0" borderId="0" xfId="0" applyBorder="1" applyAlignment="1">
      <alignment vertical="center"/>
    </xf>
    <xf numFmtId="44" fontId="2" fillId="0" borderId="0" xfId="0" applyNumberFormat="1" applyFont="1" applyBorder="1" applyAlignment="1"/>
    <xf numFmtId="44" fontId="0" fillId="0" borderId="3" xfId="0" applyNumberFormat="1" applyBorder="1" applyAlignment="1">
      <alignment horizontal="center"/>
    </xf>
    <xf numFmtId="44" fontId="0" fillId="0" borderId="0" xfId="0" applyNumberFormat="1"/>
    <xf numFmtId="0" fontId="0" fillId="0" borderId="2" xfId="0" applyBorder="1" applyAlignment="1">
      <alignment horizontal="center"/>
    </xf>
    <xf numFmtId="0" fontId="20" fillId="0" borderId="2" xfId="0" applyFont="1" applyBorder="1" applyAlignment="1">
      <alignment horizontal="center"/>
    </xf>
    <xf numFmtId="44" fontId="2" fillId="0" borderId="3" xfId="1" applyFont="1" applyBorder="1" applyAlignment="1">
      <alignment horizontal="center"/>
    </xf>
    <xf numFmtId="44" fontId="19" fillId="0" borderId="0" xfId="0" applyNumberFormat="1" applyFont="1" applyAlignment="1">
      <alignment horizontal="center"/>
    </xf>
    <xf numFmtId="0" fontId="2" fillId="0" borderId="3" xfId="0" applyFont="1" applyBorder="1" applyAlignment="1">
      <alignment horizontal="center"/>
    </xf>
    <xf numFmtId="0" fontId="19" fillId="0" borderId="0" xfId="0" applyFont="1" applyAlignment="1">
      <alignment horizontal="center"/>
    </xf>
    <xf numFmtId="0" fontId="2" fillId="0" borderId="2" xfId="0" applyFont="1" applyBorder="1" applyAlignment="1">
      <alignment horizontal="center"/>
    </xf>
    <xf numFmtId="44" fontId="2" fillId="0" borderId="3" xfId="0" applyNumberFormat="1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0" xfId="0" applyFont="1" applyFill="1" applyAlignment="1">
      <alignment horizontal="center"/>
    </xf>
    <xf numFmtId="44" fontId="0" fillId="0" borderId="0" xfId="0" applyNumberFormat="1" applyFill="1" applyAlignment="1">
      <alignment horizontal="center"/>
    </xf>
    <xf numFmtId="44" fontId="0" fillId="0" borderId="0" xfId="1" applyFont="1" applyFill="1" applyAlignment="1">
      <alignment horizontal="center"/>
    </xf>
    <xf numFmtId="44" fontId="2" fillId="0" borderId="0" xfId="0" applyNumberFormat="1" applyFont="1" applyFill="1" applyAlignment="1">
      <alignment horizontal="center"/>
    </xf>
    <xf numFmtId="0" fontId="6" fillId="0" borderId="0" xfId="0" applyFont="1" applyFill="1" applyAlignment="1">
      <alignment horizontal="center"/>
    </xf>
    <xf numFmtId="44" fontId="2" fillId="0" borderId="0" xfId="1" applyFont="1" applyFill="1" applyAlignment="1">
      <alignment horizontal="center"/>
    </xf>
    <xf numFmtId="44" fontId="0" fillId="0" borderId="6" xfId="1" applyFont="1" applyBorder="1" applyAlignment="1">
      <alignment horizontal="center" vertical="center" wrapText="1"/>
    </xf>
    <xf numFmtId="44" fontId="2" fillId="0" borderId="0" xfId="1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44" fontId="2" fillId="0" borderId="6" xfId="1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44" fontId="0" fillId="0" borderId="1" xfId="0" applyNumberFormat="1" applyBorder="1" applyAlignment="1">
      <alignment horizontal="center" vertical="center" wrapText="1"/>
    </xf>
    <xf numFmtId="166" fontId="0" fillId="0" borderId="1" xfId="0" applyNumberFormat="1" applyBorder="1" applyAlignment="1">
      <alignment horizontal="center" vertical="center" wrapText="1"/>
    </xf>
    <xf numFmtId="166" fontId="0" fillId="0" borderId="11" xfId="0" applyNumberFormat="1" applyBorder="1" applyAlignment="1">
      <alignment horizontal="center" vertical="center" wrapText="1"/>
    </xf>
    <xf numFmtId="44" fontId="0" fillId="0" borderId="11" xfId="0" applyNumberFormat="1" applyBorder="1" applyAlignment="1">
      <alignment horizontal="center" vertical="center" wrapText="1"/>
    </xf>
    <xf numFmtId="0" fontId="0" fillId="6" borderId="1" xfId="0" applyFill="1" applyBorder="1" applyAlignment="1">
      <alignment horizontal="center" vertical="center" wrapText="1"/>
    </xf>
    <xf numFmtId="0" fontId="0" fillId="6" borderId="11" xfId="0" applyFill="1" applyBorder="1" applyAlignment="1">
      <alignment horizontal="center" vertical="center" wrapText="1"/>
    </xf>
    <xf numFmtId="44" fontId="0" fillId="6" borderId="1" xfId="0" applyNumberFormat="1" applyFill="1" applyBorder="1" applyAlignment="1">
      <alignment horizontal="center" vertical="center" wrapText="1"/>
    </xf>
    <xf numFmtId="44" fontId="0" fillId="6" borderId="11" xfId="0" applyNumberForma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1" xfId="0" applyFill="1" applyBorder="1" applyAlignment="1">
      <alignment horizontal="center" vertical="center" wrapText="1"/>
    </xf>
    <xf numFmtId="44" fontId="2" fillId="0" borderId="1" xfId="0" applyNumberFormat="1" applyFont="1" applyBorder="1" applyAlignment="1">
      <alignment horizontal="center" vertical="center" wrapText="1"/>
    </xf>
    <xf numFmtId="0" fontId="0" fillId="6" borderId="12" xfId="0" applyFill="1" applyBorder="1" applyAlignment="1">
      <alignment horizontal="center" vertical="center" wrapText="1"/>
    </xf>
    <xf numFmtId="44" fontId="0" fillId="6" borderId="14" xfId="0" applyNumberFormat="1" applyFill="1" applyBorder="1" applyAlignment="1">
      <alignment horizontal="center" vertical="center" wrapText="1"/>
    </xf>
    <xf numFmtId="0" fontId="21" fillId="0" borderId="11" xfId="0" applyFont="1" applyFill="1" applyBorder="1" applyAlignment="1">
      <alignment vertical="center" wrapText="1"/>
    </xf>
    <xf numFmtId="44" fontId="0" fillId="7" borderId="1" xfId="0" applyNumberFormat="1" applyFill="1" applyBorder="1" applyAlignment="1">
      <alignment horizontal="center" vertical="center" wrapText="1"/>
    </xf>
    <xf numFmtId="44" fontId="0" fillId="7" borderId="11" xfId="0" applyNumberForma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44" fontId="0" fillId="0" borderId="1" xfId="0" applyNumberFormat="1" applyFill="1" applyBorder="1" applyAlignment="1">
      <alignment horizontal="center" vertical="center" wrapText="1"/>
    </xf>
    <xf numFmtId="44" fontId="0" fillId="0" borderId="11" xfId="0" applyNumberForma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vertical="center" wrapText="1"/>
    </xf>
    <xf numFmtId="44" fontId="2" fillId="0" borderId="11" xfId="0" applyNumberFormat="1" applyFont="1" applyBorder="1" applyAlignment="1">
      <alignment horizontal="center" vertical="center" wrapText="1"/>
    </xf>
    <xf numFmtId="44" fontId="0" fillId="6" borderId="12" xfId="0" applyNumberFormat="1" applyFill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166" fontId="0" fillId="0" borderId="0" xfId="0" applyNumberFormat="1" applyBorder="1" applyAlignment="1">
      <alignment horizontal="center" vertical="center" wrapText="1"/>
    </xf>
    <xf numFmtId="0" fontId="2" fillId="6" borderId="0" xfId="0" applyFont="1" applyFill="1" applyBorder="1" applyAlignment="1">
      <alignment horizontal="center" vertical="center" wrapText="1"/>
    </xf>
    <xf numFmtId="0" fontId="0" fillId="6" borderId="0" xfId="0" applyFill="1" applyBorder="1" applyAlignment="1">
      <alignment horizontal="center" vertical="center" wrapText="1"/>
    </xf>
    <xf numFmtId="44" fontId="0" fillId="6" borderId="0" xfId="0" applyNumberForma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vertical="center" wrapText="1"/>
    </xf>
    <xf numFmtId="0" fontId="0" fillId="6" borderId="13" xfId="0" applyFill="1" applyBorder="1" applyAlignment="1">
      <alignment horizontal="center" vertical="center" wrapText="1"/>
    </xf>
    <xf numFmtId="44" fontId="0" fillId="6" borderId="13" xfId="0" applyNumberFormat="1" applyFill="1" applyBorder="1" applyAlignment="1">
      <alignment horizontal="center" vertical="center" wrapText="1"/>
    </xf>
    <xf numFmtId="44" fontId="2" fillId="2" borderId="2" xfId="0" applyNumberFormat="1" applyFont="1" applyFill="1" applyBorder="1" applyAlignment="1">
      <alignment horizontal="center"/>
    </xf>
    <xf numFmtId="44" fontId="24" fillId="2" borderId="2" xfId="0" applyNumberFormat="1" applyFont="1" applyFill="1" applyBorder="1" applyAlignment="1">
      <alignment horizontal="center"/>
    </xf>
    <xf numFmtId="44" fontId="0" fillId="2" borderId="2" xfId="0" applyNumberFormat="1" applyFill="1" applyBorder="1" applyAlignment="1">
      <alignment horizontal="center"/>
    </xf>
    <xf numFmtId="44" fontId="0" fillId="0" borderId="0" xfId="0" applyNumberFormat="1" applyFont="1" applyAlignment="1">
      <alignment horizontal="center"/>
    </xf>
    <xf numFmtId="0" fontId="25" fillId="0" borderId="0" xfId="0" applyFont="1"/>
    <xf numFmtId="0" fontId="22" fillId="0" borderId="0" xfId="0" applyFont="1"/>
    <xf numFmtId="0" fontId="2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Border="1" applyAlignment="1">
      <alignment horizontal="center" vertical="center" wrapText="1"/>
    </xf>
    <xf numFmtId="44" fontId="0" fillId="0" borderId="4" xfId="0" applyNumberForma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0" xfId="0" applyFont="1" applyFill="1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165" fontId="5" fillId="0" borderId="0" xfId="0" applyNumberFormat="1" applyFont="1" applyFill="1" applyBorder="1" applyAlignment="1">
      <alignment horizontal="left" vertical="center"/>
    </xf>
    <xf numFmtId="44" fontId="0" fillId="0" borderId="4" xfId="0" applyNumberFormat="1" applyBorder="1" applyAlignment="1">
      <alignment horizontal="center" vertical="center"/>
    </xf>
    <xf numFmtId="165" fontId="4" fillId="0" borderId="0" xfId="0" applyNumberFormat="1" applyFont="1" applyFill="1" applyBorder="1" applyAlignment="1">
      <alignment horizontal="left" vertical="center"/>
    </xf>
    <xf numFmtId="44" fontId="0" fillId="0" borderId="0" xfId="0" applyNumberFormat="1" applyAlignment="1">
      <alignment horizontal="center" vertical="center"/>
    </xf>
    <xf numFmtId="44" fontId="0" fillId="0" borderId="4" xfId="0" applyNumberFormat="1" applyFill="1" applyBorder="1" applyAlignment="1">
      <alignment horizontal="left" vertical="center"/>
    </xf>
    <xf numFmtId="0" fontId="0" fillId="0" borderId="0" xfId="0" applyFill="1" applyBorder="1" applyAlignment="1">
      <alignment horizontal="left" vertical="center"/>
    </xf>
    <xf numFmtId="44" fontId="0" fillId="0" borderId="0" xfId="1" applyFont="1" applyFill="1" applyBorder="1" applyAlignment="1">
      <alignment horizontal="left" vertical="center"/>
    </xf>
    <xf numFmtId="44" fontId="0" fillId="0" borderId="0" xfId="1" applyFont="1" applyBorder="1" applyAlignment="1">
      <alignment horizontal="left" vertical="center"/>
    </xf>
    <xf numFmtId="44" fontId="0" fillId="0" borderId="0" xfId="0" applyNumberFormat="1" applyFill="1" applyBorder="1" applyAlignment="1">
      <alignment horizontal="left" vertical="center"/>
    </xf>
    <xf numFmtId="44" fontId="0" fillId="0" borderId="0" xfId="0" applyNumberFormat="1" applyBorder="1" applyAlignment="1">
      <alignment horizontal="left" vertical="center"/>
    </xf>
    <xf numFmtId="165" fontId="5" fillId="0" borderId="4" xfId="0" applyNumberFormat="1" applyFont="1" applyFill="1" applyBorder="1" applyAlignment="1">
      <alignment horizontal="left" vertical="center"/>
    </xf>
    <xf numFmtId="44" fontId="0" fillId="0" borderId="4" xfId="1" applyFont="1" applyFill="1" applyBorder="1" applyAlignment="1">
      <alignment horizontal="left" vertical="center"/>
    </xf>
    <xf numFmtId="44" fontId="0" fillId="0" borderId="4" xfId="0" applyNumberFormat="1" applyBorder="1" applyAlignment="1">
      <alignment horizontal="left" vertical="center"/>
    </xf>
    <xf numFmtId="44" fontId="2" fillId="0" borderId="4" xfId="1" applyFont="1" applyFill="1" applyBorder="1" applyAlignment="1">
      <alignment horizontal="left" vertical="center"/>
    </xf>
    <xf numFmtId="44" fontId="2" fillId="0" borderId="4" xfId="1" applyFont="1" applyBorder="1" applyAlignment="1">
      <alignment horizontal="left" vertical="center"/>
    </xf>
    <xf numFmtId="0" fontId="0" fillId="0" borderId="0" xfId="0" applyFill="1" applyAlignment="1">
      <alignment horizontal="left" vertical="center"/>
    </xf>
    <xf numFmtId="44" fontId="0" fillId="0" borderId="0" xfId="0" applyNumberFormat="1" applyFill="1" applyAlignment="1">
      <alignment horizontal="left" vertical="center"/>
    </xf>
    <xf numFmtId="44" fontId="0" fillId="0" borderId="0" xfId="0" applyNumberFormat="1" applyAlignment="1">
      <alignment horizontal="left" vertical="center"/>
    </xf>
    <xf numFmtId="0" fontId="4" fillId="0" borderId="4" xfId="0" applyFont="1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44" fontId="0" fillId="0" borderId="0" xfId="1" applyFont="1" applyAlignment="1">
      <alignment horizontal="left" vertical="center"/>
    </xf>
    <xf numFmtId="44" fontId="2" fillId="0" borderId="7" xfId="1" applyFont="1" applyFill="1" applyBorder="1" applyAlignment="1">
      <alignment horizontal="left" vertical="center"/>
    </xf>
    <xf numFmtId="44" fontId="2" fillId="0" borderId="7" xfId="1" applyFont="1" applyBorder="1" applyAlignment="1">
      <alignment horizontal="left" vertical="center"/>
    </xf>
    <xf numFmtId="165" fontId="4" fillId="0" borderId="7" xfId="0" applyNumberFormat="1" applyFont="1" applyFill="1" applyBorder="1" applyAlignment="1">
      <alignment horizontal="left" vertical="center"/>
    </xf>
    <xf numFmtId="0" fontId="3" fillId="0" borderId="0" xfId="0" applyFont="1" applyFill="1" applyBorder="1" applyAlignment="1"/>
    <xf numFmtId="0" fontId="4" fillId="0" borderId="3" xfId="0" applyFont="1" applyFill="1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165" fontId="4" fillId="0" borderId="3" xfId="0" applyNumberFormat="1" applyFont="1" applyFill="1" applyBorder="1" applyAlignment="1">
      <alignment horizontal="center" vertical="center"/>
    </xf>
    <xf numFmtId="0" fontId="0" fillId="0" borderId="3" xfId="0" applyFill="1" applyBorder="1" applyAlignment="1">
      <alignment horizontal="left" vertical="center"/>
    </xf>
    <xf numFmtId="0" fontId="2" fillId="0" borderId="0" xfId="0" applyFont="1" applyFill="1" applyBorder="1" applyAlignment="1">
      <alignment horizontal="center"/>
    </xf>
    <xf numFmtId="9" fontId="0" fillId="0" borderId="5" xfId="0" applyNumberFormat="1" applyFill="1" applyBorder="1" applyAlignment="1">
      <alignment horizontal="center"/>
    </xf>
    <xf numFmtId="8" fontId="0" fillId="0" borderId="5" xfId="0" applyNumberFormat="1" applyFill="1" applyBorder="1" applyAlignment="1">
      <alignment horizontal="center"/>
    </xf>
    <xf numFmtId="0" fontId="2" fillId="0" borderId="0" xfId="0" applyFont="1"/>
    <xf numFmtId="165" fontId="4" fillId="0" borderId="3" xfId="0" applyNumberFormat="1" applyFont="1" applyFill="1" applyBorder="1"/>
    <xf numFmtId="0" fontId="4" fillId="0" borderId="3" xfId="0" applyFont="1" applyFill="1" applyBorder="1" applyAlignment="1">
      <alignment horizontal="left"/>
    </xf>
    <xf numFmtId="44" fontId="2" fillId="0" borderId="4" xfId="0" applyNumberFormat="1" applyFont="1" applyFill="1" applyBorder="1" applyAlignment="1">
      <alignment horizontal="center"/>
    </xf>
    <xf numFmtId="0" fontId="0" fillId="0" borderId="5" xfId="0" applyBorder="1" applyAlignment="1">
      <alignment horizontal="center"/>
    </xf>
    <xf numFmtId="0" fontId="2" fillId="0" borderId="5" xfId="0" applyFont="1" applyBorder="1" applyAlignment="1">
      <alignment horizontal="center"/>
    </xf>
    <xf numFmtId="9" fontId="2" fillId="0" borderId="0" xfId="2" applyFont="1" applyAlignment="1">
      <alignment horizontal="center" vertical="center"/>
    </xf>
    <xf numFmtId="0" fontId="17" fillId="0" borderId="0" xfId="0" applyFont="1" applyFill="1" applyAlignment="1">
      <alignment horizontal="center"/>
    </xf>
    <xf numFmtId="0" fontId="0" fillId="0" borderId="0" xfId="0" applyFont="1" applyAlignment="1">
      <alignment horizontal="center" vertical="center" wrapText="1"/>
    </xf>
    <xf numFmtId="44" fontId="2" fillId="0" borderId="0" xfId="0" applyNumberFormat="1" applyFont="1" applyAlignment="1">
      <alignment horizontal="center" vertical="center" wrapText="1"/>
    </xf>
    <xf numFmtId="44" fontId="0" fillId="0" borderId="0" xfId="0" applyNumberFormat="1" applyFont="1" applyAlignment="1">
      <alignment horizontal="center" vertical="center" wrapText="1"/>
    </xf>
    <xf numFmtId="44" fontId="1" fillId="0" borderId="0" xfId="1" applyFont="1" applyAlignment="1">
      <alignment horizontal="center" vertical="center" wrapText="1"/>
    </xf>
    <xf numFmtId="9" fontId="2" fillId="0" borderId="0" xfId="2" applyFont="1" applyAlignment="1">
      <alignment horizontal="center" vertical="center" wrapText="1"/>
    </xf>
    <xf numFmtId="1" fontId="2" fillId="0" borderId="0" xfId="0" applyNumberFormat="1" applyFont="1" applyBorder="1" applyAlignment="1">
      <alignment horizontal="center"/>
    </xf>
    <xf numFmtId="1" fontId="0" fillId="0" borderId="0" xfId="0" applyNumberFormat="1" applyFont="1" applyAlignment="1">
      <alignment horizontal="center" vertical="center" wrapText="1"/>
    </xf>
    <xf numFmtId="0" fontId="0" fillId="0" borderId="6" xfId="0" applyBorder="1"/>
    <xf numFmtId="44" fontId="0" fillId="0" borderId="6" xfId="0" applyNumberFormat="1" applyBorder="1"/>
    <xf numFmtId="0" fontId="0" fillId="0" borderId="4" xfId="0" applyFont="1" applyBorder="1" applyAlignment="1">
      <alignment horizontal="center" vertical="center" wrapText="1"/>
    </xf>
    <xf numFmtId="1" fontId="0" fillId="0" borderId="4" xfId="0" applyNumberFormat="1" applyFont="1" applyBorder="1" applyAlignment="1">
      <alignment horizontal="center" vertical="center" wrapText="1"/>
    </xf>
    <xf numFmtId="0" fontId="0" fillId="0" borderId="0" xfId="0" applyFont="1"/>
    <xf numFmtId="0" fontId="0" fillId="0" borderId="4" xfId="0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0" fillId="0" borderId="4" xfId="0" applyFont="1" applyFill="1" applyBorder="1" applyAlignment="1">
      <alignment horizontal="center"/>
    </xf>
    <xf numFmtId="1" fontId="0" fillId="0" borderId="4" xfId="1" applyNumberFormat="1" applyFont="1" applyFill="1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0" fillId="0" borderId="6" xfId="0" applyFont="1" applyBorder="1" applyAlignment="1">
      <alignment horizontal="center"/>
    </xf>
    <xf numFmtId="44" fontId="0" fillId="0" borderId="6" xfId="0" applyNumberFormat="1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44" fontId="0" fillId="0" borderId="4" xfId="0" applyNumberFormat="1" applyFont="1" applyBorder="1" applyAlignment="1">
      <alignment horizontal="center"/>
    </xf>
    <xf numFmtId="44" fontId="0" fillId="0" borderId="6" xfId="0" applyNumberFormat="1" applyBorder="1" applyAlignment="1">
      <alignment horizontal="center" vertical="center" wrapText="1"/>
    </xf>
    <xf numFmtId="0" fontId="28" fillId="0" borderId="0" xfId="0" applyFont="1" applyAlignment="1">
      <alignment horizontal="center" vertical="center" wrapText="1"/>
    </xf>
    <xf numFmtId="9" fontId="28" fillId="0" borderId="0" xfId="0" applyNumberFormat="1" applyFont="1" applyAlignment="1">
      <alignment horizontal="center" vertical="center" wrapText="1"/>
    </xf>
    <xf numFmtId="8" fontId="28" fillId="0" borderId="0" xfId="0" applyNumberFormat="1" applyFont="1" applyAlignment="1">
      <alignment horizontal="center" vertical="center" wrapText="1"/>
    </xf>
    <xf numFmtId="44" fontId="0" fillId="0" borderId="0" xfId="1" quotePrefix="1" applyFont="1" applyFill="1" applyBorder="1" applyAlignment="1">
      <alignment horizontal="center" vertical="center" wrapText="1"/>
    </xf>
    <xf numFmtId="44" fontId="1" fillId="0" borderId="0" xfId="1" applyFont="1" applyBorder="1" applyAlignment="1">
      <alignment horizontal="center" vertical="center" wrapText="1"/>
    </xf>
    <xf numFmtId="44" fontId="1" fillId="0" borderId="0" xfId="1" applyFont="1" applyFill="1" applyBorder="1" applyAlignment="1">
      <alignment horizontal="center" vertical="center" wrapText="1"/>
    </xf>
    <xf numFmtId="0" fontId="0" fillId="0" borderId="0" xfId="1" applyNumberFormat="1" applyFont="1" applyBorder="1" applyAlignment="1">
      <alignment horizontal="center" vertical="center" wrapText="1"/>
    </xf>
    <xf numFmtId="0" fontId="0" fillId="0" borderId="4" xfId="1" applyNumberFormat="1" applyFont="1" applyBorder="1" applyAlignment="1">
      <alignment horizontal="center" vertical="center" wrapText="1"/>
    </xf>
    <xf numFmtId="44" fontId="0" fillId="0" borderId="6" xfId="1" applyFont="1" applyBorder="1" applyAlignment="1">
      <alignment horizontal="center" vertical="center"/>
    </xf>
    <xf numFmtId="44" fontId="2" fillId="0" borderId="0" xfId="0" applyNumberFormat="1" applyFont="1" applyBorder="1" applyAlignment="1">
      <alignment horizontal="center" vertical="center"/>
    </xf>
    <xf numFmtId="44" fontId="0" fillId="0" borderId="5" xfId="0" applyNumberFormat="1" applyBorder="1" applyAlignment="1">
      <alignment horizontal="center" vertical="center"/>
    </xf>
    <xf numFmtId="44" fontId="0" fillId="0" borderId="5" xfId="2" applyNumberFormat="1" applyFont="1" applyBorder="1" applyAlignment="1">
      <alignment horizontal="center" vertical="center" wrapText="1"/>
    </xf>
    <xf numFmtId="44" fontId="0" fillId="0" borderId="6" xfId="1" applyFont="1" applyBorder="1"/>
    <xf numFmtId="0" fontId="0" fillId="0" borderId="4" xfId="0" applyBorder="1"/>
    <xf numFmtId="44" fontId="0" fillId="0" borderId="4" xfId="1" applyFont="1" applyBorder="1"/>
    <xf numFmtId="44" fontId="2" fillId="0" borderId="0" xfId="1" applyFont="1"/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7" fillId="0" borderId="1" xfId="0" applyFont="1" applyBorder="1" applyAlignment="1">
      <alignment horizontal="center" vertical="center"/>
    </xf>
    <xf numFmtId="0" fontId="26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7" fillId="0" borderId="12" xfId="0" applyFont="1" applyBorder="1" applyAlignment="1">
      <alignment horizontal="center" vertical="center"/>
    </xf>
    <xf numFmtId="0" fontId="26" fillId="0" borderId="12" xfId="0" applyFont="1" applyBorder="1" applyAlignment="1">
      <alignment horizontal="center" vertical="center"/>
    </xf>
    <xf numFmtId="0" fontId="14" fillId="0" borderId="0" xfId="0" applyFont="1" applyBorder="1" applyAlignment="1">
      <alignment horizontal="center"/>
    </xf>
    <xf numFmtId="0" fontId="13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 vertical="center" wrapText="1"/>
    </xf>
    <xf numFmtId="44" fontId="2" fillId="0" borderId="3" xfId="0" applyNumberFormat="1" applyFont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11" fillId="0" borderId="0" xfId="3" applyFont="1" applyBorder="1" applyAlignment="1">
      <alignment horizontal="center"/>
    </xf>
    <xf numFmtId="0" fontId="6" fillId="0" borderId="0" xfId="0" applyFont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44" fontId="2" fillId="0" borderId="0" xfId="1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9" fontId="2" fillId="0" borderId="6" xfId="2" applyFont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14" fillId="0" borderId="0" xfId="0" applyFont="1" applyAlignment="1">
      <alignment horizontal="center"/>
    </xf>
    <xf numFmtId="0" fontId="14" fillId="0" borderId="0" xfId="0" applyFont="1" applyBorder="1" applyAlignment="1">
      <alignment horizontal="center" vertical="center" wrapText="1"/>
    </xf>
    <xf numFmtId="44" fontId="0" fillId="0" borderId="4" xfId="0" applyNumberForma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0" xfId="0" applyFont="1" applyFill="1" applyBorder="1" applyAlignment="1">
      <alignment horizontal="center" vertical="center" wrapText="1"/>
    </xf>
    <xf numFmtId="0" fontId="23" fillId="5" borderId="8" xfId="0" applyFont="1" applyFill="1" applyBorder="1" applyAlignment="1">
      <alignment horizontal="center" vertical="center" wrapText="1"/>
    </xf>
    <xf numFmtId="0" fontId="23" fillId="5" borderId="10" xfId="0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2" fillId="0" borderId="0" xfId="0" applyFont="1" applyAlignment="1">
      <alignment horizontal="center"/>
    </xf>
    <xf numFmtId="0" fontId="2" fillId="0" borderId="6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13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</cellXfs>
  <cellStyles count="5">
    <cellStyle name="Currency 2" xfId="4"/>
    <cellStyle name="Moneda" xfId="1" builtinId="4"/>
    <cellStyle name="Normal" xfId="0" builtinId="0"/>
    <cellStyle name="Normal 2" xfId="3"/>
    <cellStyle name="Porcentual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4:AX279"/>
  <sheetViews>
    <sheetView showGridLines="0" tabSelected="1" topLeftCell="A67" zoomScaleNormal="100" workbookViewId="0">
      <selection activeCell="B82" sqref="B82"/>
    </sheetView>
  </sheetViews>
  <sheetFormatPr baseColWidth="10" defaultRowHeight="15"/>
  <cols>
    <col min="1" max="1" width="27.85546875" style="126" bestFit="1" customWidth="1"/>
    <col min="2" max="2" width="46.7109375" style="126" bestFit="1" customWidth="1"/>
    <col min="3" max="3" width="13.140625" style="126" bestFit="1" customWidth="1"/>
    <col min="4" max="4" width="14.140625" style="126" customWidth="1"/>
    <col min="5" max="5" width="13.140625" style="126" bestFit="1" customWidth="1"/>
    <col min="6" max="7" width="14.140625" style="126" customWidth="1"/>
    <col min="8" max="8" width="13.140625" style="126" bestFit="1" customWidth="1"/>
    <col min="9" max="10" width="14.140625" style="126" customWidth="1"/>
    <col min="11" max="11" width="13.140625" style="126" bestFit="1" customWidth="1"/>
    <col min="12" max="12" width="14.140625" style="126" customWidth="1"/>
    <col min="13" max="13" width="13.85546875" style="126" customWidth="1"/>
    <col min="14" max="14" width="12.140625" style="126" bestFit="1" customWidth="1"/>
    <col min="15" max="15" width="13.85546875" style="126" customWidth="1"/>
    <col min="16" max="16" width="18" style="126" customWidth="1"/>
    <col min="17" max="17" width="12.140625" style="126" bestFit="1" customWidth="1"/>
    <col min="18" max="18" width="14.42578125" style="126" customWidth="1"/>
    <col min="19" max="19" width="13" style="126" customWidth="1"/>
    <col min="20" max="20" width="12.140625" style="126" bestFit="1" customWidth="1"/>
    <col min="21" max="21" width="13.42578125" style="126" customWidth="1"/>
    <col min="22" max="22" width="14.28515625" style="126" customWidth="1"/>
    <col min="23" max="23" width="12.140625" style="126" bestFit="1" customWidth="1"/>
    <col min="24" max="24" width="16" style="126" customWidth="1"/>
    <col min="25" max="25" width="15.28515625" style="126" customWidth="1"/>
    <col min="26" max="26" width="12.140625" style="126" bestFit="1" customWidth="1"/>
    <col min="27" max="27" width="18.5703125" style="126" customWidth="1"/>
    <col min="28" max="33" width="14.140625" style="126" customWidth="1"/>
    <col min="34" max="34" width="12.140625" style="126" bestFit="1" customWidth="1"/>
    <col min="35" max="35" width="12.7109375" style="126" customWidth="1"/>
    <col min="36" max="36" width="11.42578125" style="126"/>
    <col min="37" max="37" width="12.140625" style="126" bestFit="1" customWidth="1"/>
    <col min="38" max="39" width="11.42578125" style="126"/>
    <col min="40" max="40" width="27.85546875" style="126" customWidth="1"/>
    <col min="41" max="41" width="46.7109375" style="126" bestFit="1" customWidth="1"/>
    <col min="42" max="42" width="23" style="126" bestFit="1" customWidth="1"/>
    <col min="43" max="43" width="14.42578125" style="126" bestFit="1" customWidth="1"/>
    <col min="44" max="46" width="13.85546875" style="126" bestFit="1" customWidth="1"/>
    <col min="47" max="47" width="14.42578125" style="126" bestFit="1" customWidth="1"/>
    <col min="48" max="50" width="15.42578125" style="126" bestFit="1" customWidth="1"/>
    <col min="51" max="51" width="13.140625" style="126" bestFit="1" customWidth="1"/>
    <col min="52" max="52" width="12.140625" style="126" bestFit="1" customWidth="1"/>
    <col min="53" max="53" width="13.85546875" style="126" bestFit="1" customWidth="1"/>
    <col min="54" max="55" width="12" style="126" bestFit="1" customWidth="1"/>
    <col min="56" max="56" width="12.140625" style="126" bestFit="1" customWidth="1"/>
    <col min="57" max="60" width="12.7109375" style="126" bestFit="1" customWidth="1"/>
    <col min="61" max="61" width="13.140625" style="126" bestFit="1" customWidth="1"/>
    <col min="62" max="63" width="12.7109375" style="126" bestFit="1" customWidth="1"/>
    <col min="64" max="64" width="12.7109375" style="126" customWidth="1"/>
    <col min="65" max="65" width="12.7109375" style="126" bestFit="1" customWidth="1"/>
    <col min="66" max="67" width="12.140625" style="126" bestFit="1" customWidth="1"/>
    <col min="68" max="68" width="12" style="126" bestFit="1" customWidth="1"/>
    <col min="69" max="16384" width="11.42578125" style="126"/>
  </cols>
  <sheetData>
    <row r="4" spans="1:40" ht="15.75" thickBot="1">
      <c r="T4" s="127"/>
      <c r="U4" s="127"/>
      <c r="V4" s="127"/>
      <c r="W4" s="127"/>
      <c r="X4" s="127"/>
      <c r="Y4" s="127"/>
      <c r="Z4" s="127"/>
      <c r="AA4" s="127"/>
      <c r="AB4" s="127"/>
    </row>
    <row r="5" spans="1:40">
      <c r="B5" s="300" t="s">
        <v>0</v>
      </c>
      <c r="C5" s="301"/>
      <c r="D5" s="301"/>
      <c r="E5" s="301"/>
      <c r="F5" s="301"/>
      <c r="G5" s="301"/>
      <c r="H5" s="301"/>
      <c r="I5" s="92"/>
      <c r="J5" s="123"/>
      <c r="K5" s="300" t="s">
        <v>12</v>
      </c>
      <c r="L5" s="301"/>
      <c r="M5" s="301"/>
      <c r="N5" s="301"/>
      <c r="O5" s="301"/>
      <c r="P5" s="301"/>
      <c r="Q5" s="301"/>
      <c r="R5" s="92"/>
      <c r="T5" s="117"/>
      <c r="U5" s="117"/>
      <c r="V5" s="117"/>
      <c r="W5" s="117"/>
      <c r="X5" s="117"/>
      <c r="Y5" s="117"/>
      <c r="Z5" s="117"/>
      <c r="AA5" s="117"/>
      <c r="AB5" s="124"/>
    </row>
    <row r="6" spans="1:40">
      <c r="A6" s="133"/>
      <c r="B6" s="125"/>
      <c r="C6" s="124"/>
      <c r="D6" s="124" t="s">
        <v>5</v>
      </c>
      <c r="E6" s="124" t="s">
        <v>6</v>
      </c>
      <c r="F6" s="124" t="s">
        <v>7</v>
      </c>
      <c r="G6" s="124" t="s">
        <v>8</v>
      </c>
      <c r="H6" s="124" t="s">
        <v>9</v>
      </c>
      <c r="I6" s="115" t="s">
        <v>10</v>
      </c>
      <c r="J6" s="123"/>
      <c r="K6" s="125"/>
      <c r="L6" s="124"/>
      <c r="M6" s="124" t="s">
        <v>5</v>
      </c>
      <c r="N6" s="124" t="s">
        <v>6</v>
      </c>
      <c r="O6" s="124" t="s">
        <v>7</v>
      </c>
      <c r="P6" s="124" t="s">
        <v>8</v>
      </c>
      <c r="Q6" s="124" t="s">
        <v>9</v>
      </c>
      <c r="R6" s="115" t="s">
        <v>10</v>
      </c>
      <c r="T6" s="124"/>
      <c r="U6" s="124"/>
      <c r="V6" s="124"/>
      <c r="W6" s="124"/>
      <c r="X6" s="124"/>
      <c r="Y6" s="124"/>
      <c r="Z6" s="124"/>
      <c r="AA6" s="124"/>
      <c r="AB6" s="124"/>
    </row>
    <row r="7" spans="1:40">
      <c r="B7" s="302">
        <v>2014</v>
      </c>
      <c r="C7" s="127" t="s">
        <v>2</v>
      </c>
      <c r="D7" s="127">
        <v>1400</v>
      </c>
      <c r="E7" s="127">
        <v>1400</v>
      </c>
      <c r="F7" s="127">
        <v>1400</v>
      </c>
      <c r="G7" s="127">
        <v>1400</v>
      </c>
      <c r="H7" s="127">
        <v>1400</v>
      </c>
      <c r="I7" s="97">
        <f>+SUM(D7:H7)</f>
        <v>7000</v>
      </c>
      <c r="K7" s="303">
        <v>2014</v>
      </c>
      <c r="L7" s="127" t="s">
        <v>2</v>
      </c>
      <c r="M7" s="127">
        <f>+D7</f>
        <v>1400</v>
      </c>
      <c r="N7" s="127">
        <f t="shared" ref="N7:Q7" si="0">+E7</f>
        <v>1400</v>
      </c>
      <c r="O7" s="127">
        <f t="shared" si="0"/>
        <v>1400</v>
      </c>
      <c r="P7" s="127">
        <f t="shared" si="0"/>
        <v>1400</v>
      </c>
      <c r="Q7" s="127">
        <f t="shared" si="0"/>
        <v>1400</v>
      </c>
      <c r="R7" s="97">
        <f>+SUM(M7:Q7)</f>
        <v>7000</v>
      </c>
      <c r="T7" s="134"/>
      <c r="U7" s="127"/>
      <c r="V7" s="127"/>
      <c r="W7" s="127"/>
      <c r="X7" s="127"/>
      <c r="Y7" s="127"/>
      <c r="Z7" s="127"/>
      <c r="AA7" s="127"/>
      <c r="AB7" s="127"/>
    </row>
    <row r="8" spans="1:40">
      <c r="B8" s="302"/>
      <c r="C8" s="127" t="s">
        <v>3</v>
      </c>
      <c r="D8" s="77">
        <v>18.5</v>
      </c>
      <c r="E8" s="77">
        <v>18.5</v>
      </c>
      <c r="F8" s="77">
        <v>18.5</v>
      </c>
      <c r="G8" s="77">
        <v>18.5</v>
      </c>
      <c r="H8" s="77">
        <v>18.5</v>
      </c>
      <c r="I8" s="94"/>
      <c r="K8" s="303"/>
      <c r="L8" s="127" t="s">
        <v>3</v>
      </c>
      <c r="M8" s="77">
        <v>8.91</v>
      </c>
      <c r="N8" s="77">
        <v>8.9100009999999994</v>
      </c>
      <c r="O8" s="77">
        <v>9.5</v>
      </c>
      <c r="P8" s="77">
        <v>9.5</v>
      </c>
      <c r="Q8" s="77">
        <v>10.10084</v>
      </c>
      <c r="R8" s="94"/>
      <c r="T8" s="134"/>
      <c r="U8" s="127"/>
      <c r="V8" s="77"/>
      <c r="W8" s="77"/>
      <c r="X8" s="77"/>
      <c r="Y8" s="77"/>
      <c r="Z8" s="77"/>
      <c r="AA8" s="77"/>
      <c r="AB8" s="77"/>
    </row>
    <row r="9" spans="1:40">
      <c r="B9" s="302"/>
      <c r="C9" s="127" t="s">
        <v>4</v>
      </c>
      <c r="D9" s="77">
        <f>+D10*0.12</f>
        <v>3108</v>
      </c>
      <c r="E9" s="77">
        <f t="shared" ref="E9:H9" si="1">+E10*0.12</f>
        <v>3108</v>
      </c>
      <c r="F9" s="77">
        <f t="shared" si="1"/>
        <v>3108</v>
      </c>
      <c r="G9" s="77">
        <f t="shared" si="1"/>
        <v>3108</v>
      </c>
      <c r="H9" s="77">
        <f t="shared" si="1"/>
        <v>3108</v>
      </c>
      <c r="I9" s="94">
        <f t="shared" ref="I9:I59" si="2">+SUM(D9:H9)</f>
        <v>15540</v>
      </c>
      <c r="K9" s="303"/>
      <c r="L9" s="127" t="s">
        <v>4</v>
      </c>
      <c r="M9" s="77">
        <f>+M10*0.12</f>
        <v>1496.8799999999999</v>
      </c>
      <c r="N9" s="77">
        <f>+N10*0.12</f>
        <v>1496.8801679999999</v>
      </c>
      <c r="O9" s="77">
        <f t="shared" ref="O9:Q9" si="3">+O10*0.12</f>
        <v>1596</v>
      </c>
      <c r="P9" s="77">
        <f t="shared" si="3"/>
        <v>1596</v>
      </c>
      <c r="Q9" s="77">
        <f t="shared" si="3"/>
        <v>1696.94112</v>
      </c>
      <c r="R9" s="94">
        <f t="shared" ref="R9:R59" si="4">+SUM(M9:Q9)</f>
        <v>7882.7012880000002</v>
      </c>
      <c r="T9" s="134"/>
      <c r="U9" s="127"/>
      <c r="V9" s="77"/>
      <c r="W9" s="77"/>
      <c r="X9" s="77"/>
      <c r="Y9" s="77"/>
      <c r="Z9" s="77"/>
      <c r="AA9" s="77"/>
      <c r="AB9" s="77"/>
    </row>
    <row r="10" spans="1:40">
      <c r="B10" s="302"/>
      <c r="C10" s="127" t="s">
        <v>10</v>
      </c>
      <c r="D10" s="77">
        <f>+D7*D8</f>
        <v>25900</v>
      </c>
      <c r="E10" s="77">
        <f t="shared" ref="E10:H10" si="5">+E7*E8</f>
        <v>25900</v>
      </c>
      <c r="F10" s="77">
        <f t="shared" si="5"/>
        <v>25900</v>
      </c>
      <c r="G10" s="77">
        <f t="shared" si="5"/>
        <v>25900</v>
      </c>
      <c r="H10" s="77">
        <f t="shared" si="5"/>
        <v>25900</v>
      </c>
      <c r="I10" s="94">
        <f t="shared" si="2"/>
        <v>129500</v>
      </c>
      <c r="K10" s="303"/>
      <c r="L10" s="127" t="s">
        <v>10</v>
      </c>
      <c r="M10" s="77">
        <f>+M7*M8</f>
        <v>12474</v>
      </c>
      <c r="N10" s="77">
        <f t="shared" ref="N10:Q10" si="6">+N7*N8</f>
        <v>12474.001399999999</v>
      </c>
      <c r="O10" s="77">
        <f t="shared" si="6"/>
        <v>13300</v>
      </c>
      <c r="P10" s="77">
        <f t="shared" si="6"/>
        <v>13300</v>
      </c>
      <c r="Q10" s="77">
        <f t="shared" si="6"/>
        <v>14141.175999999999</v>
      </c>
      <c r="R10" s="94">
        <f t="shared" si="4"/>
        <v>65689.1774</v>
      </c>
      <c r="T10" s="134"/>
      <c r="U10" s="127"/>
      <c r="V10" s="77"/>
      <c r="W10" s="77"/>
      <c r="X10" s="77"/>
      <c r="Y10" s="77"/>
      <c r="Z10" s="77"/>
      <c r="AA10" s="77"/>
      <c r="AB10" s="77"/>
    </row>
    <row r="11" spans="1:40">
      <c r="B11" s="93"/>
      <c r="C11" s="127"/>
      <c r="D11" s="127"/>
      <c r="E11" s="127"/>
      <c r="F11" s="127"/>
      <c r="G11" s="127"/>
      <c r="H11" s="127"/>
      <c r="I11" s="97"/>
      <c r="K11" s="93"/>
      <c r="L11" s="127"/>
      <c r="M11" s="127"/>
      <c r="N11" s="127"/>
      <c r="O11" s="127"/>
      <c r="P11" s="127"/>
      <c r="Q11" s="127"/>
      <c r="R11" s="97"/>
      <c r="T11" s="127"/>
      <c r="U11" s="127"/>
      <c r="V11" s="35"/>
      <c r="W11" s="127"/>
      <c r="X11" s="127"/>
      <c r="Y11" s="127"/>
      <c r="Z11" s="127"/>
      <c r="AA11" s="127"/>
      <c r="AB11" s="127"/>
      <c r="AM11" s="2"/>
    </row>
    <row r="12" spans="1:40" s="123" customFormat="1">
      <c r="B12" s="304" t="s">
        <v>0</v>
      </c>
      <c r="C12" s="305"/>
      <c r="D12" s="305"/>
      <c r="E12" s="305"/>
      <c r="F12" s="305"/>
      <c r="G12" s="305"/>
      <c r="H12" s="305"/>
      <c r="I12" s="115"/>
      <c r="K12" s="304" t="s">
        <v>12</v>
      </c>
      <c r="L12" s="305"/>
      <c r="M12" s="305"/>
      <c r="N12" s="305"/>
      <c r="O12" s="305"/>
      <c r="P12" s="305"/>
      <c r="Q12" s="305"/>
      <c r="R12" s="115"/>
      <c r="T12" s="135"/>
      <c r="U12" s="127"/>
      <c r="V12" s="135"/>
      <c r="W12" s="117"/>
      <c r="X12" s="117"/>
      <c r="Y12" s="117"/>
      <c r="Z12" s="117"/>
      <c r="AA12" s="117"/>
      <c r="AB12" s="124"/>
      <c r="AI12" s="126"/>
      <c r="AJ12" s="101"/>
      <c r="AK12" s="101"/>
      <c r="AL12" s="101"/>
      <c r="AM12" s="101"/>
      <c r="AN12" s="101"/>
    </row>
    <row r="13" spans="1:40" s="123" customFormat="1">
      <c r="B13" s="125"/>
      <c r="C13" s="124"/>
      <c r="D13" s="124" t="s">
        <v>5</v>
      </c>
      <c r="E13" s="124" t="s">
        <v>6</v>
      </c>
      <c r="F13" s="124" t="s">
        <v>7</v>
      </c>
      <c r="G13" s="124" t="s">
        <v>8</v>
      </c>
      <c r="H13" s="124" t="s">
        <v>9</v>
      </c>
      <c r="I13" s="115"/>
      <c r="K13" s="125"/>
      <c r="L13" s="124"/>
      <c r="M13" s="124" t="s">
        <v>5</v>
      </c>
      <c r="N13" s="124" t="s">
        <v>6</v>
      </c>
      <c r="O13" s="124" t="s">
        <v>7</v>
      </c>
      <c r="P13" s="124" t="s">
        <v>8</v>
      </c>
      <c r="Q13" s="124" t="s">
        <v>9</v>
      </c>
      <c r="R13" s="115"/>
      <c r="T13" s="124"/>
      <c r="U13" s="127"/>
      <c r="V13" s="103"/>
      <c r="W13" s="124"/>
      <c r="X13" s="124"/>
      <c r="Y13" s="124"/>
      <c r="Z13" s="124"/>
      <c r="AA13" s="124"/>
      <c r="AB13" s="124"/>
      <c r="AI13" s="126"/>
      <c r="AJ13" s="101"/>
      <c r="AK13" s="101"/>
      <c r="AL13" s="101"/>
      <c r="AM13" s="101"/>
      <c r="AN13" s="101"/>
    </row>
    <row r="14" spans="1:40">
      <c r="B14" s="302">
        <v>2015</v>
      </c>
      <c r="C14" s="127" t="s">
        <v>2</v>
      </c>
      <c r="D14" s="127">
        <f>+D7*1.05</f>
        <v>1470</v>
      </c>
      <c r="E14" s="127">
        <f t="shared" ref="E14:H14" si="7">+E7*1.05</f>
        <v>1470</v>
      </c>
      <c r="F14" s="127">
        <f t="shared" si="7"/>
        <v>1470</v>
      </c>
      <c r="G14" s="127">
        <f t="shared" si="7"/>
        <v>1470</v>
      </c>
      <c r="H14" s="127">
        <f t="shared" si="7"/>
        <v>1470</v>
      </c>
      <c r="I14" s="97">
        <f t="shared" si="2"/>
        <v>7350</v>
      </c>
      <c r="K14" s="303">
        <v>2015</v>
      </c>
      <c r="L14" s="127" t="s">
        <v>2</v>
      </c>
      <c r="M14" s="127">
        <f>+D14</f>
        <v>1470</v>
      </c>
      <c r="N14" s="127">
        <f t="shared" ref="N14:Q14" si="8">+E14</f>
        <v>1470</v>
      </c>
      <c r="O14" s="127">
        <f t="shared" si="8"/>
        <v>1470</v>
      </c>
      <c r="P14" s="127">
        <f t="shared" si="8"/>
        <v>1470</v>
      </c>
      <c r="Q14" s="127">
        <f t="shared" si="8"/>
        <v>1470</v>
      </c>
      <c r="R14" s="97">
        <f t="shared" si="4"/>
        <v>7350</v>
      </c>
      <c r="T14" s="134"/>
      <c r="U14" s="127"/>
      <c r="V14" s="35"/>
      <c r="W14" s="127"/>
      <c r="X14" s="127"/>
      <c r="Y14" s="127"/>
      <c r="Z14" s="127"/>
      <c r="AA14" s="127"/>
      <c r="AB14" s="127"/>
      <c r="AI14" s="123"/>
      <c r="AJ14" s="90"/>
      <c r="AK14" s="90"/>
      <c r="AL14" s="90"/>
      <c r="AM14" s="90"/>
      <c r="AN14" s="90"/>
    </row>
    <row r="15" spans="1:40">
      <c r="B15" s="302"/>
      <c r="C15" s="127" t="s">
        <v>3</v>
      </c>
      <c r="D15" s="77">
        <v>21.5</v>
      </c>
      <c r="E15" s="77">
        <v>21.5</v>
      </c>
      <c r="F15" s="77">
        <v>21.5</v>
      </c>
      <c r="G15" s="77">
        <v>21.5</v>
      </c>
      <c r="H15" s="77">
        <v>21.5</v>
      </c>
      <c r="I15" s="94"/>
      <c r="K15" s="303"/>
      <c r="L15" s="127" t="s">
        <v>3</v>
      </c>
      <c r="M15" s="77">
        <v>8.91</v>
      </c>
      <c r="N15" s="77">
        <v>8.91</v>
      </c>
      <c r="O15" s="77">
        <v>9.5</v>
      </c>
      <c r="P15" s="77">
        <v>9.5</v>
      </c>
      <c r="Q15" s="77">
        <v>10.1</v>
      </c>
      <c r="R15" s="94"/>
      <c r="T15" s="134"/>
      <c r="U15" s="127"/>
      <c r="V15" s="77"/>
      <c r="W15" s="77"/>
      <c r="X15" s="77"/>
      <c r="Y15" s="77"/>
      <c r="Z15" s="77"/>
      <c r="AA15" s="77"/>
      <c r="AB15" s="77"/>
      <c r="AI15" s="123"/>
    </row>
    <row r="16" spans="1:40">
      <c r="B16" s="302"/>
      <c r="C16" s="127" t="s">
        <v>4</v>
      </c>
      <c r="D16" s="77">
        <f>+D17*0.12</f>
        <v>3792.6</v>
      </c>
      <c r="E16" s="77">
        <f t="shared" ref="E16:H16" si="9">+E17*0.12</f>
        <v>3792.6</v>
      </c>
      <c r="F16" s="77">
        <f t="shared" si="9"/>
        <v>3792.6</v>
      </c>
      <c r="G16" s="77">
        <f t="shared" si="9"/>
        <v>3792.6</v>
      </c>
      <c r="H16" s="77">
        <f t="shared" si="9"/>
        <v>3792.6</v>
      </c>
      <c r="I16" s="94">
        <f t="shared" si="2"/>
        <v>18963</v>
      </c>
      <c r="K16" s="303"/>
      <c r="L16" s="127" t="s">
        <v>4</v>
      </c>
      <c r="M16" s="77">
        <f>+M17*0.12</f>
        <v>1571.7239999999999</v>
      </c>
      <c r="N16" s="77">
        <f t="shared" ref="N16:Q16" si="10">+N17*0.12</f>
        <v>1571.7239999999999</v>
      </c>
      <c r="O16" s="77">
        <f t="shared" si="10"/>
        <v>1675.8</v>
      </c>
      <c r="P16" s="77">
        <f t="shared" si="10"/>
        <v>1675.8</v>
      </c>
      <c r="Q16" s="77">
        <f t="shared" si="10"/>
        <v>1781.6399999999999</v>
      </c>
      <c r="R16" s="94">
        <f t="shared" si="4"/>
        <v>8276.6880000000001</v>
      </c>
      <c r="T16" s="134"/>
      <c r="U16" s="127"/>
      <c r="V16" s="77"/>
      <c r="W16" s="77"/>
      <c r="X16" s="77"/>
      <c r="Y16" s="77"/>
      <c r="Z16" s="77"/>
      <c r="AA16" s="77"/>
      <c r="AB16" s="77"/>
      <c r="AJ16" s="90"/>
      <c r="AK16" s="90"/>
      <c r="AL16" s="90"/>
      <c r="AM16" s="90"/>
      <c r="AN16" s="90"/>
    </row>
    <row r="17" spans="2:40">
      <c r="B17" s="302"/>
      <c r="C17" s="127" t="s">
        <v>10</v>
      </c>
      <c r="D17" s="77">
        <f>+D14*D15</f>
        <v>31605</v>
      </c>
      <c r="E17" s="77">
        <f t="shared" ref="E17:H17" si="11">+E14*E15</f>
        <v>31605</v>
      </c>
      <c r="F17" s="77">
        <f t="shared" si="11"/>
        <v>31605</v>
      </c>
      <c r="G17" s="77">
        <f t="shared" si="11"/>
        <v>31605</v>
      </c>
      <c r="H17" s="77">
        <f t="shared" si="11"/>
        <v>31605</v>
      </c>
      <c r="I17" s="94">
        <f t="shared" si="2"/>
        <v>158025</v>
      </c>
      <c r="K17" s="303"/>
      <c r="L17" s="127" t="s">
        <v>10</v>
      </c>
      <c r="M17" s="77">
        <f>+M14*M15</f>
        <v>13097.7</v>
      </c>
      <c r="N17" s="77">
        <f t="shared" ref="N17:Q17" si="12">+N14*N15</f>
        <v>13097.7</v>
      </c>
      <c r="O17" s="77">
        <f t="shared" si="12"/>
        <v>13965</v>
      </c>
      <c r="P17" s="77">
        <f t="shared" si="12"/>
        <v>13965</v>
      </c>
      <c r="Q17" s="77">
        <f t="shared" si="12"/>
        <v>14847</v>
      </c>
      <c r="R17" s="94">
        <f t="shared" si="4"/>
        <v>68972.399999999994</v>
      </c>
      <c r="T17" s="134"/>
      <c r="U17" s="127"/>
      <c r="V17" s="77"/>
      <c r="W17" s="77"/>
      <c r="X17" s="77"/>
      <c r="Y17" s="77"/>
      <c r="Z17" s="77"/>
      <c r="AA17" s="77"/>
      <c r="AB17" s="77"/>
    </row>
    <row r="18" spans="2:40">
      <c r="B18" s="93"/>
      <c r="C18" s="127"/>
      <c r="D18" s="127"/>
      <c r="E18" s="127"/>
      <c r="F18" s="127"/>
      <c r="G18" s="127"/>
      <c r="H18" s="127"/>
      <c r="I18" s="97"/>
      <c r="K18" s="93"/>
      <c r="L18" s="127"/>
      <c r="M18" s="127"/>
      <c r="N18" s="127"/>
      <c r="O18" s="127"/>
      <c r="P18" s="127"/>
      <c r="Q18" s="127"/>
      <c r="R18" s="97"/>
      <c r="T18" s="127"/>
      <c r="U18" s="127"/>
      <c r="V18" s="35"/>
      <c r="W18" s="127"/>
      <c r="X18" s="127"/>
      <c r="Y18" s="127"/>
      <c r="Z18" s="127"/>
      <c r="AA18" s="127"/>
      <c r="AB18" s="127"/>
      <c r="AJ18" s="90"/>
      <c r="AK18" s="90"/>
      <c r="AL18" s="90"/>
      <c r="AM18" s="90"/>
      <c r="AN18" s="90"/>
    </row>
    <row r="19" spans="2:40" s="123" customFormat="1">
      <c r="B19" s="304" t="s">
        <v>0</v>
      </c>
      <c r="C19" s="305"/>
      <c r="D19" s="305"/>
      <c r="E19" s="305"/>
      <c r="F19" s="305"/>
      <c r="G19" s="305"/>
      <c r="H19" s="305"/>
      <c r="I19" s="115"/>
      <c r="K19" s="304" t="s">
        <v>12</v>
      </c>
      <c r="L19" s="305"/>
      <c r="M19" s="305"/>
      <c r="N19" s="305"/>
      <c r="O19" s="305"/>
      <c r="P19" s="305"/>
      <c r="Q19" s="305"/>
      <c r="R19" s="115"/>
      <c r="T19" s="117"/>
      <c r="U19" s="117"/>
      <c r="V19" s="117"/>
      <c r="W19" s="117"/>
      <c r="X19" s="117"/>
      <c r="Y19" s="117"/>
      <c r="Z19" s="117"/>
      <c r="AA19" s="117"/>
      <c r="AB19" s="124"/>
    </row>
    <row r="20" spans="2:40" s="123" customFormat="1">
      <c r="B20" s="125"/>
      <c r="C20" s="124"/>
      <c r="D20" s="124" t="s">
        <v>5</v>
      </c>
      <c r="E20" s="124" t="s">
        <v>6</v>
      </c>
      <c r="F20" s="124" t="s">
        <v>7</v>
      </c>
      <c r="G20" s="124" t="s">
        <v>8</v>
      </c>
      <c r="H20" s="124" t="s">
        <v>9</v>
      </c>
      <c r="I20" s="115"/>
      <c r="K20" s="125"/>
      <c r="L20" s="124"/>
      <c r="M20" s="124" t="s">
        <v>5</v>
      </c>
      <c r="N20" s="124" t="s">
        <v>6</v>
      </c>
      <c r="O20" s="124" t="s">
        <v>7</v>
      </c>
      <c r="P20" s="124" t="s">
        <v>8</v>
      </c>
      <c r="Q20" s="124" t="s">
        <v>9</v>
      </c>
      <c r="R20" s="115"/>
      <c r="T20" s="124"/>
      <c r="U20" s="124"/>
      <c r="V20" s="124"/>
      <c r="W20" s="124"/>
      <c r="X20" s="124"/>
      <c r="Y20" s="124"/>
      <c r="Z20" s="124"/>
      <c r="AA20" s="124"/>
      <c r="AB20" s="124"/>
      <c r="AJ20" s="101"/>
      <c r="AK20" s="101"/>
      <c r="AL20" s="101"/>
      <c r="AM20" s="101"/>
      <c r="AN20" s="101"/>
    </row>
    <row r="21" spans="2:40">
      <c r="B21" s="302">
        <v>2016</v>
      </c>
      <c r="C21" s="127" t="s">
        <v>2</v>
      </c>
      <c r="D21" s="98">
        <f>+D14*1.05</f>
        <v>1543.5</v>
      </c>
      <c r="E21" s="98">
        <f t="shared" ref="E21:H21" si="13">+E14*1.05</f>
        <v>1543.5</v>
      </c>
      <c r="F21" s="98">
        <f t="shared" si="13"/>
        <v>1543.5</v>
      </c>
      <c r="G21" s="98">
        <f t="shared" si="13"/>
        <v>1543.5</v>
      </c>
      <c r="H21" s="98">
        <f t="shared" si="13"/>
        <v>1543.5</v>
      </c>
      <c r="I21" s="99">
        <f t="shared" si="2"/>
        <v>7717.5</v>
      </c>
      <c r="K21" s="303">
        <v>2016</v>
      </c>
      <c r="L21" s="127" t="s">
        <v>2</v>
      </c>
      <c r="M21" s="98">
        <f>+D21</f>
        <v>1543.5</v>
      </c>
      <c r="N21" s="98">
        <f t="shared" ref="N21:Q21" si="14">+E21</f>
        <v>1543.5</v>
      </c>
      <c r="O21" s="98">
        <f t="shared" si="14"/>
        <v>1543.5</v>
      </c>
      <c r="P21" s="98">
        <f t="shared" si="14"/>
        <v>1543.5</v>
      </c>
      <c r="Q21" s="98">
        <f t="shared" si="14"/>
        <v>1543.5</v>
      </c>
      <c r="R21" s="99">
        <f t="shared" si="4"/>
        <v>7717.5</v>
      </c>
      <c r="T21" s="134"/>
      <c r="U21" s="127"/>
      <c r="V21" s="98"/>
      <c r="W21" s="98"/>
      <c r="X21" s="98"/>
      <c r="Y21" s="98"/>
      <c r="Z21" s="98"/>
      <c r="AA21" s="98"/>
      <c r="AB21" s="98"/>
    </row>
    <row r="22" spans="2:40">
      <c r="B22" s="302"/>
      <c r="C22" s="127" t="s">
        <v>3</v>
      </c>
      <c r="D22" s="77">
        <v>23.5</v>
      </c>
      <c r="E22" s="77">
        <v>23.5</v>
      </c>
      <c r="F22" s="77">
        <v>23.5</v>
      </c>
      <c r="G22" s="77">
        <v>23.5</v>
      </c>
      <c r="H22" s="77">
        <v>23.5</v>
      </c>
      <c r="I22" s="94"/>
      <c r="K22" s="303"/>
      <c r="L22" s="127" t="s">
        <v>3</v>
      </c>
      <c r="M22" s="77">
        <f>+M15*1.05</f>
        <v>9.355500000000001</v>
      </c>
      <c r="N22" s="77">
        <f t="shared" ref="N22:Q22" si="15">+N15*1.05</f>
        <v>9.355500000000001</v>
      </c>
      <c r="O22" s="77">
        <f t="shared" si="15"/>
        <v>9.9749999999999996</v>
      </c>
      <c r="P22" s="77">
        <f t="shared" si="15"/>
        <v>9.9749999999999996</v>
      </c>
      <c r="Q22" s="77">
        <f t="shared" si="15"/>
        <v>10.605</v>
      </c>
      <c r="R22" s="94"/>
      <c r="T22" s="134"/>
      <c r="U22" s="127"/>
      <c r="V22" s="77"/>
      <c r="W22" s="77"/>
      <c r="X22" s="77"/>
      <c r="Y22" s="77"/>
      <c r="Z22" s="77"/>
      <c r="AA22" s="77"/>
      <c r="AB22" s="77"/>
      <c r="AJ22" s="90"/>
      <c r="AK22" s="90"/>
      <c r="AL22" s="90"/>
      <c r="AM22" s="90"/>
      <c r="AN22" s="90"/>
    </row>
    <row r="23" spans="2:40">
      <c r="B23" s="302"/>
      <c r="C23" s="127" t="s">
        <v>4</v>
      </c>
      <c r="D23" s="77">
        <f>+D24*0.12</f>
        <v>4352.67</v>
      </c>
      <c r="E23" s="77">
        <f t="shared" ref="E23:H23" si="16">+E24*0.12</f>
        <v>4352.67</v>
      </c>
      <c r="F23" s="77">
        <f t="shared" si="16"/>
        <v>4352.67</v>
      </c>
      <c r="G23" s="77">
        <f t="shared" si="16"/>
        <v>4352.67</v>
      </c>
      <c r="H23" s="77">
        <f t="shared" si="16"/>
        <v>4352.67</v>
      </c>
      <c r="I23" s="94">
        <f t="shared" si="2"/>
        <v>21763.35</v>
      </c>
      <c r="K23" s="303"/>
      <c r="L23" s="127" t="s">
        <v>4</v>
      </c>
      <c r="M23" s="77">
        <f>+M24*0.12</f>
        <v>1732.8257100000001</v>
      </c>
      <c r="N23" s="77">
        <f t="shared" ref="N23:Q23" si="17">+N24*0.12</f>
        <v>1732.8257100000001</v>
      </c>
      <c r="O23" s="77">
        <f t="shared" si="17"/>
        <v>1847.5694999999998</v>
      </c>
      <c r="P23" s="77">
        <f t="shared" si="17"/>
        <v>1847.5694999999998</v>
      </c>
      <c r="Q23" s="77">
        <f t="shared" si="17"/>
        <v>1964.2581</v>
      </c>
      <c r="R23" s="94">
        <f t="shared" si="4"/>
        <v>9125.0485200000003</v>
      </c>
      <c r="T23" s="134"/>
      <c r="U23" s="127"/>
      <c r="V23" s="77"/>
      <c r="W23" s="77"/>
      <c r="X23" s="77"/>
      <c r="Y23" s="77"/>
      <c r="Z23" s="77"/>
      <c r="AA23" s="77"/>
      <c r="AB23" s="77"/>
    </row>
    <row r="24" spans="2:40">
      <c r="B24" s="302"/>
      <c r="C24" s="127" t="s">
        <v>10</v>
      </c>
      <c r="D24" s="77">
        <f>+D21*D22</f>
        <v>36272.25</v>
      </c>
      <c r="E24" s="77">
        <f t="shared" ref="E24:H24" si="18">+E21*E22</f>
        <v>36272.25</v>
      </c>
      <c r="F24" s="77">
        <f t="shared" si="18"/>
        <v>36272.25</v>
      </c>
      <c r="G24" s="77">
        <f t="shared" si="18"/>
        <v>36272.25</v>
      </c>
      <c r="H24" s="77">
        <f t="shared" si="18"/>
        <v>36272.25</v>
      </c>
      <c r="I24" s="94">
        <f t="shared" si="2"/>
        <v>181361.25</v>
      </c>
      <c r="K24" s="303"/>
      <c r="L24" s="127" t="s">
        <v>10</v>
      </c>
      <c r="M24" s="77">
        <f>+M21*M22</f>
        <v>14440.214250000001</v>
      </c>
      <c r="N24" s="77">
        <f t="shared" ref="N24:Q24" si="19">+N21*N22</f>
        <v>14440.214250000001</v>
      </c>
      <c r="O24" s="77">
        <f t="shared" si="19"/>
        <v>15396.412499999999</v>
      </c>
      <c r="P24" s="77">
        <f t="shared" si="19"/>
        <v>15396.412499999999</v>
      </c>
      <c r="Q24" s="77">
        <f t="shared" si="19"/>
        <v>16368.817500000001</v>
      </c>
      <c r="R24" s="94">
        <f t="shared" si="4"/>
        <v>76042.070999999996</v>
      </c>
      <c r="T24" s="134"/>
      <c r="U24" s="127"/>
      <c r="V24" s="77"/>
      <c r="W24" s="77"/>
      <c r="X24" s="77"/>
      <c r="Y24" s="77"/>
      <c r="Z24" s="77"/>
      <c r="AA24" s="77"/>
      <c r="AB24" s="77"/>
    </row>
    <row r="25" spans="2:40">
      <c r="B25" s="93"/>
      <c r="C25" s="127"/>
      <c r="D25" s="127"/>
      <c r="E25" s="127"/>
      <c r="F25" s="127"/>
      <c r="G25" s="127"/>
      <c r="H25" s="127"/>
      <c r="I25" s="97"/>
      <c r="K25" s="93"/>
      <c r="L25" s="127"/>
      <c r="M25" s="127"/>
      <c r="N25" s="127"/>
      <c r="O25" s="127"/>
      <c r="P25" s="127"/>
      <c r="Q25" s="127"/>
      <c r="R25" s="97"/>
      <c r="T25" s="127"/>
      <c r="U25" s="127"/>
      <c r="V25" s="127"/>
      <c r="W25" s="127"/>
      <c r="X25" s="127"/>
      <c r="Y25" s="127"/>
      <c r="Z25" s="127"/>
      <c r="AA25" s="127"/>
      <c r="AB25" s="127"/>
    </row>
    <row r="26" spans="2:40" s="123" customFormat="1">
      <c r="B26" s="304" t="s">
        <v>0</v>
      </c>
      <c r="C26" s="305"/>
      <c r="D26" s="305"/>
      <c r="E26" s="305"/>
      <c r="F26" s="305"/>
      <c r="G26" s="305"/>
      <c r="H26" s="305"/>
      <c r="I26" s="115"/>
      <c r="K26" s="304" t="s">
        <v>12</v>
      </c>
      <c r="L26" s="305"/>
      <c r="M26" s="305"/>
      <c r="N26" s="305"/>
      <c r="O26" s="305"/>
      <c r="P26" s="305"/>
      <c r="Q26" s="305"/>
      <c r="R26" s="115"/>
      <c r="T26" s="117"/>
      <c r="U26" s="117"/>
      <c r="V26" s="117"/>
      <c r="W26" s="117"/>
      <c r="X26" s="117"/>
      <c r="Y26" s="117"/>
      <c r="Z26" s="117"/>
      <c r="AA26" s="117"/>
      <c r="AB26" s="124"/>
    </row>
    <row r="27" spans="2:40" s="123" customFormat="1">
      <c r="B27" s="125"/>
      <c r="C27" s="124"/>
      <c r="D27" s="124" t="s">
        <v>5</v>
      </c>
      <c r="E27" s="124" t="s">
        <v>6</v>
      </c>
      <c r="F27" s="124" t="s">
        <v>7</v>
      </c>
      <c r="G27" s="124" t="s">
        <v>8</v>
      </c>
      <c r="H27" s="124" t="s">
        <v>9</v>
      </c>
      <c r="I27" s="115"/>
      <c r="K27" s="125"/>
      <c r="L27" s="124"/>
      <c r="M27" s="124" t="s">
        <v>5</v>
      </c>
      <c r="N27" s="124" t="s">
        <v>6</v>
      </c>
      <c r="O27" s="124" t="s">
        <v>7</v>
      </c>
      <c r="P27" s="124" t="s">
        <v>8</v>
      </c>
      <c r="Q27" s="124" t="s">
        <v>9</v>
      </c>
      <c r="R27" s="115"/>
      <c r="T27" s="124"/>
      <c r="U27" s="124"/>
      <c r="V27" s="124"/>
      <c r="W27" s="124"/>
      <c r="X27" s="124"/>
      <c r="Y27" s="124"/>
      <c r="Z27" s="124"/>
      <c r="AA27" s="124"/>
      <c r="AB27" s="124"/>
    </row>
    <row r="28" spans="2:40">
      <c r="B28" s="302">
        <v>2017</v>
      </c>
      <c r="C28" s="127" t="s">
        <v>2</v>
      </c>
      <c r="D28" s="98">
        <f>+D21*1.05</f>
        <v>1620.6750000000002</v>
      </c>
      <c r="E28" s="98">
        <f t="shared" ref="E28:H28" si="20">+E21*1.05</f>
        <v>1620.6750000000002</v>
      </c>
      <c r="F28" s="98">
        <f t="shared" si="20"/>
        <v>1620.6750000000002</v>
      </c>
      <c r="G28" s="98">
        <f t="shared" si="20"/>
        <v>1620.6750000000002</v>
      </c>
      <c r="H28" s="98">
        <f t="shared" si="20"/>
        <v>1620.6750000000002</v>
      </c>
      <c r="I28" s="99">
        <f t="shared" si="2"/>
        <v>8103.3750000000009</v>
      </c>
      <c r="K28" s="303">
        <v>2017</v>
      </c>
      <c r="L28" s="127" t="s">
        <v>2</v>
      </c>
      <c r="M28" s="98">
        <f>+D28</f>
        <v>1620.6750000000002</v>
      </c>
      <c r="N28" s="98">
        <f t="shared" ref="N28:Q28" si="21">+E28</f>
        <v>1620.6750000000002</v>
      </c>
      <c r="O28" s="98">
        <f t="shared" si="21"/>
        <v>1620.6750000000002</v>
      </c>
      <c r="P28" s="98">
        <f t="shared" si="21"/>
        <v>1620.6750000000002</v>
      </c>
      <c r="Q28" s="98">
        <f t="shared" si="21"/>
        <v>1620.6750000000002</v>
      </c>
      <c r="R28" s="99">
        <f t="shared" si="4"/>
        <v>8103.3750000000009</v>
      </c>
      <c r="T28" s="134"/>
      <c r="U28" s="127"/>
      <c r="V28" s="98"/>
      <c r="W28" s="98"/>
      <c r="X28" s="98"/>
      <c r="Y28" s="98"/>
      <c r="Z28" s="98"/>
      <c r="AA28" s="98"/>
      <c r="AB28" s="98"/>
    </row>
    <row r="29" spans="2:40">
      <c r="B29" s="302"/>
      <c r="C29" s="127" t="s">
        <v>3</v>
      </c>
      <c r="D29" s="77">
        <v>23.5</v>
      </c>
      <c r="E29" s="77">
        <v>23.5</v>
      </c>
      <c r="F29" s="77">
        <v>23.5</v>
      </c>
      <c r="G29" s="77">
        <v>23.5</v>
      </c>
      <c r="H29" s="77">
        <v>23.5</v>
      </c>
      <c r="I29" s="94"/>
      <c r="K29" s="303"/>
      <c r="L29" s="127" t="s">
        <v>3</v>
      </c>
      <c r="M29" s="77">
        <f>+M22</f>
        <v>9.355500000000001</v>
      </c>
      <c r="N29" s="77">
        <f t="shared" ref="N29:Q29" si="22">+N22</f>
        <v>9.355500000000001</v>
      </c>
      <c r="O29" s="77">
        <f t="shared" si="22"/>
        <v>9.9749999999999996</v>
      </c>
      <c r="P29" s="77">
        <f t="shared" si="22"/>
        <v>9.9749999999999996</v>
      </c>
      <c r="Q29" s="77">
        <f t="shared" si="22"/>
        <v>10.605</v>
      </c>
      <c r="R29" s="94"/>
      <c r="T29" s="134"/>
      <c r="U29" s="127"/>
      <c r="V29" s="77"/>
      <c r="W29" s="77"/>
      <c r="X29" s="77"/>
      <c r="Y29" s="77"/>
      <c r="Z29" s="77"/>
      <c r="AA29" s="77"/>
      <c r="AB29" s="77"/>
    </row>
    <row r="30" spans="2:40">
      <c r="B30" s="302"/>
      <c r="C30" s="127" t="s">
        <v>4</v>
      </c>
      <c r="D30" s="77">
        <f>+D31*0.12</f>
        <v>4570.3035</v>
      </c>
      <c r="E30" s="77">
        <f t="shared" ref="E30:H30" si="23">+E31*0.12</f>
        <v>4570.3035</v>
      </c>
      <c r="F30" s="77">
        <f t="shared" si="23"/>
        <v>4570.3035</v>
      </c>
      <c r="G30" s="77">
        <f t="shared" si="23"/>
        <v>4570.3035</v>
      </c>
      <c r="H30" s="77">
        <f t="shared" si="23"/>
        <v>4570.3035</v>
      </c>
      <c r="I30" s="94">
        <f t="shared" si="2"/>
        <v>22851.517500000002</v>
      </c>
      <c r="K30" s="303"/>
      <c r="L30" s="127" t="s">
        <v>4</v>
      </c>
      <c r="M30" s="77">
        <f>+M31*0.12</f>
        <v>1819.4669955000004</v>
      </c>
      <c r="N30" s="77">
        <f t="shared" ref="N30:Q30" si="24">+N31*0.12</f>
        <v>1819.4669955000004</v>
      </c>
      <c r="O30" s="77">
        <f t="shared" si="24"/>
        <v>1939.947975</v>
      </c>
      <c r="P30" s="77">
        <f t="shared" si="24"/>
        <v>1939.947975</v>
      </c>
      <c r="Q30" s="77">
        <f t="shared" si="24"/>
        <v>2062.4710049999999</v>
      </c>
      <c r="R30" s="94">
        <f t="shared" si="4"/>
        <v>9581.3009460000012</v>
      </c>
      <c r="T30" s="134"/>
      <c r="U30" s="127"/>
      <c r="V30" s="77"/>
      <c r="W30" s="77"/>
      <c r="X30" s="77"/>
      <c r="Y30" s="77"/>
      <c r="Z30" s="77"/>
      <c r="AA30" s="77"/>
      <c r="AB30" s="77"/>
    </row>
    <row r="31" spans="2:40">
      <c r="B31" s="302"/>
      <c r="C31" s="127" t="s">
        <v>10</v>
      </c>
      <c r="D31" s="77">
        <f>+D28*D29</f>
        <v>38085.862500000003</v>
      </c>
      <c r="E31" s="77">
        <f t="shared" ref="E31:H31" si="25">+E28*E29</f>
        <v>38085.862500000003</v>
      </c>
      <c r="F31" s="77">
        <f t="shared" si="25"/>
        <v>38085.862500000003</v>
      </c>
      <c r="G31" s="77">
        <f t="shared" si="25"/>
        <v>38085.862500000003</v>
      </c>
      <c r="H31" s="77">
        <f t="shared" si="25"/>
        <v>38085.862500000003</v>
      </c>
      <c r="I31" s="94">
        <f t="shared" si="2"/>
        <v>190429.3125</v>
      </c>
      <c r="K31" s="303"/>
      <c r="L31" s="127" t="s">
        <v>10</v>
      </c>
      <c r="M31" s="77">
        <f>+M28*M29</f>
        <v>15162.224962500004</v>
      </c>
      <c r="N31" s="77">
        <f t="shared" ref="N31:Q31" si="26">+N28*N29</f>
        <v>15162.224962500004</v>
      </c>
      <c r="O31" s="77">
        <f t="shared" si="26"/>
        <v>16166.233125000001</v>
      </c>
      <c r="P31" s="77">
        <f t="shared" si="26"/>
        <v>16166.233125000001</v>
      </c>
      <c r="Q31" s="77">
        <f t="shared" si="26"/>
        <v>17187.258375000001</v>
      </c>
      <c r="R31" s="94">
        <f t="shared" si="4"/>
        <v>79844.174550000011</v>
      </c>
      <c r="T31" s="134"/>
      <c r="U31" s="127"/>
      <c r="V31" s="77"/>
      <c r="W31" s="77"/>
      <c r="X31" s="77"/>
      <c r="Y31" s="77"/>
      <c r="Z31" s="77"/>
      <c r="AA31" s="77"/>
      <c r="AB31" s="77"/>
    </row>
    <row r="32" spans="2:40" ht="14.25" customHeight="1">
      <c r="B32" s="93"/>
      <c r="C32" s="127"/>
      <c r="D32" s="127"/>
      <c r="E32" s="127"/>
      <c r="F32" s="127"/>
      <c r="G32" s="127"/>
      <c r="H32" s="127"/>
      <c r="I32" s="97"/>
      <c r="K32" s="93"/>
      <c r="L32" s="127"/>
      <c r="M32" s="127"/>
      <c r="N32" s="127"/>
      <c r="O32" s="127"/>
      <c r="P32" s="127"/>
      <c r="Q32" s="127"/>
      <c r="R32" s="97"/>
      <c r="T32" s="127"/>
      <c r="U32" s="127"/>
      <c r="V32" s="127"/>
      <c r="W32" s="127"/>
      <c r="X32" s="127"/>
      <c r="Y32" s="127"/>
      <c r="Z32" s="127"/>
      <c r="AA32" s="127"/>
      <c r="AB32" s="127"/>
    </row>
    <row r="33" spans="2:28" s="123" customFormat="1">
      <c r="B33" s="304" t="s">
        <v>0</v>
      </c>
      <c r="C33" s="305"/>
      <c r="D33" s="305"/>
      <c r="E33" s="305"/>
      <c r="F33" s="305"/>
      <c r="G33" s="305"/>
      <c r="H33" s="305"/>
      <c r="I33" s="115"/>
      <c r="K33" s="304" t="s">
        <v>12</v>
      </c>
      <c r="L33" s="305"/>
      <c r="M33" s="305"/>
      <c r="N33" s="305"/>
      <c r="O33" s="305"/>
      <c r="P33" s="305"/>
      <c r="Q33" s="305"/>
      <c r="R33" s="115"/>
      <c r="T33" s="117"/>
      <c r="U33" s="117"/>
      <c r="V33" s="117"/>
      <c r="W33" s="117"/>
      <c r="X33" s="117"/>
      <c r="Y33" s="117"/>
      <c r="Z33" s="117"/>
      <c r="AA33" s="117"/>
      <c r="AB33" s="124"/>
    </row>
    <row r="34" spans="2:28" s="123" customFormat="1">
      <c r="B34" s="125"/>
      <c r="C34" s="124"/>
      <c r="D34" s="124" t="s">
        <v>5</v>
      </c>
      <c r="E34" s="124" t="s">
        <v>6</v>
      </c>
      <c r="F34" s="124" t="s">
        <v>7</v>
      </c>
      <c r="G34" s="124" t="s">
        <v>8</v>
      </c>
      <c r="H34" s="124" t="s">
        <v>9</v>
      </c>
      <c r="I34" s="115"/>
      <c r="K34" s="125"/>
      <c r="L34" s="124"/>
      <c r="M34" s="124" t="s">
        <v>5</v>
      </c>
      <c r="N34" s="124" t="s">
        <v>6</v>
      </c>
      <c r="O34" s="124" t="s">
        <v>7</v>
      </c>
      <c r="P34" s="124" t="s">
        <v>8</v>
      </c>
      <c r="Q34" s="124" t="s">
        <v>9</v>
      </c>
      <c r="R34" s="115"/>
      <c r="T34" s="124"/>
      <c r="U34" s="124"/>
      <c r="V34" s="124"/>
      <c r="W34" s="124"/>
      <c r="X34" s="124"/>
      <c r="Y34" s="124"/>
      <c r="Z34" s="124"/>
      <c r="AA34" s="124"/>
      <c r="AB34" s="124"/>
    </row>
    <row r="35" spans="2:28">
      <c r="B35" s="302">
        <v>2018</v>
      </c>
      <c r="C35" s="127" t="s">
        <v>2</v>
      </c>
      <c r="D35" s="98">
        <f>+D28*1.05</f>
        <v>1701.7087500000002</v>
      </c>
      <c r="E35" s="98">
        <f t="shared" ref="E35:H35" si="27">+E28*1.05</f>
        <v>1701.7087500000002</v>
      </c>
      <c r="F35" s="98">
        <f t="shared" si="27"/>
        <v>1701.7087500000002</v>
      </c>
      <c r="G35" s="98">
        <f t="shared" si="27"/>
        <v>1701.7087500000002</v>
      </c>
      <c r="H35" s="98">
        <f t="shared" si="27"/>
        <v>1701.7087500000002</v>
      </c>
      <c r="I35" s="99">
        <f t="shared" si="2"/>
        <v>8508.5437500000007</v>
      </c>
      <c r="K35" s="303">
        <v>2018</v>
      </c>
      <c r="L35" s="127" t="s">
        <v>2</v>
      </c>
      <c r="M35" s="98">
        <f>+D35</f>
        <v>1701.7087500000002</v>
      </c>
      <c r="N35" s="98">
        <f t="shared" ref="N35:Q35" si="28">+E35</f>
        <v>1701.7087500000002</v>
      </c>
      <c r="O35" s="98">
        <f t="shared" si="28"/>
        <v>1701.7087500000002</v>
      </c>
      <c r="P35" s="98">
        <f t="shared" si="28"/>
        <v>1701.7087500000002</v>
      </c>
      <c r="Q35" s="98">
        <f t="shared" si="28"/>
        <v>1701.7087500000002</v>
      </c>
      <c r="R35" s="99">
        <f t="shared" si="4"/>
        <v>8508.5437500000007</v>
      </c>
      <c r="T35" s="134"/>
      <c r="U35" s="127"/>
      <c r="V35" s="98"/>
      <c r="W35" s="98"/>
      <c r="X35" s="98"/>
      <c r="Y35" s="98"/>
      <c r="Z35" s="98"/>
      <c r="AA35" s="98"/>
      <c r="AB35" s="98"/>
    </row>
    <row r="36" spans="2:28">
      <c r="B36" s="302"/>
      <c r="C36" s="127" t="s">
        <v>3</v>
      </c>
      <c r="D36" s="77">
        <v>25.5</v>
      </c>
      <c r="E36" s="77">
        <v>25.5</v>
      </c>
      <c r="F36" s="77">
        <v>25.5</v>
      </c>
      <c r="G36" s="77">
        <v>25.5</v>
      </c>
      <c r="H36" s="77">
        <v>25.5</v>
      </c>
      <c r="I36" s="94"/>
      <c r="K36" s="303"/>
      <c r="L36" s="127" t="s">
        <v>3</v>
      </c>
      <c r="M36" s="77">
        <f>+M29*1.05</f>
        <v>9.8232750000000006</v>
      </c>
      <c r="N36" s="77">
        <f t="shared" ref="N36:Q36" si="29">+N29*1.05</f>
        <v>9.8232750000000006</v>
      </c>
      <c r="O36" s="77">
        <f t="shared" si="29"/>
        <v>10.473750000000001</v>
      </c>
      <c r="P36" s="77">
        <f t="shared" si="29"/>
        <v>10.473750000000001</v>
      </c>
      <c r="Q36" s="77">
        <f t="shared" si="29"/>
        <v>11.135250000000001</v>
      </c>
      <c r="R36" s="94"/>
      <c r="T36" s="134"/>
      <c r="U36" s="127"/>
      <c r="V36" s="77"/>
      <c r="W36" s="77"/>
      <c r="X36" s="77"/>
      <c r="Y36" s="77"/>
      <c r="Z36" s="77"/>
      <c r="AA36" s="77"/>
      <c r="AB36" s="77"/>
    </row>
    <row r="37" spans="2:28">
      <c r="B37" s="302"/>
      <c r="C37" s="127" t="s">
        <v>4</v>
      </c>
      <c r="D37" s="77">
        <f>+D38*0.12</f>
        <v>5207.2287750000005</v>
      </c>
      <c r="E37" s="77">
        <f t="shared" ref="E37:H37" si="30">+E38*0.12</f>
        <v>5207.2287750000005</v>
      </c>
      <c r="F37" s="77">
        <f t="shared" si="30"/>
        <v>5207.2287750000005</v>
      </c>
      <c r="G37" s="77">
        <f t="shared" si="30"/>
        <v>5207.2287750000005</v>
      </c>
      <c r="H37" s="77">
        <f t="shared" si="30"/>
        <v>5207.2287750000005</v>
      </c>
      <c r="I37" s="94">
        <f t="shared" si="2"/>
        <v>26036.143875000002</v>
      </c>
      <c r="K37" s="303"/>
      <c r="L37" s="127" t="s">
        <v>4</v>
      </c>
      <c r="M37" s="77">
        <f>+M38*0.12</f>
        <v>2005.9623625387503</v>
      </c>
      <c r="N37" s="77">
        <f t="shared" ref="N37:Q37" si="31">+N38*0.12</f>
        <v>2005.9623625387503</v>
      </c>
      <c r="O37" s="77">
        <f t="shared" si="31"/>
        <v>2138.7926424375</v>
      </c>
      <c r="P37" s="77">
        <f t="shared" si="31"/>
        <v>2138.7926424375</v>
      </c>
      <c r="Q37" s="77">
        <f t="shared" si="31"/>
        <v>2273.8742830125007</v>
      </c>
      <c r="R37" s="94">
        <f t="shared" si="4"/>
        <v>10563.384292965002</v>
      </c>
      <c r="T37" s="134"/>
      <c r="U37" s="127"/>
      <c r="V37" s="77"/>
      <c r="W37" s="77"/>
      <c r="X37" s="77"/>
      <c r="Y37" s="77"/>
      <c r="Z37" s="77"/>
      <c r="AA37" s="77"/>
      <c r="AB37" s="77"/>
    </row>
    <row r="38" spans="2:28">
      <c r="B38" s="302"/>
      <c r="C38" s="127" t="s">
        <v>10</v>
      </c>
      <c r="D38" s="77">
        <f>+D35*D36</f>
        <v>43393.573125000003</v>
      </c>
      <c r="E38" s="77">
        <f t="shared" ref="E38:H38" si="32">+E35*E36</f>
        <v>43393.573125000003</v>
      </c>
      <c r="F38" s="77">
        <f t="shared" si="32"/>
        <v>43393.573125000003</v>
      </c>
      <c r="G38" s="77">
        <f t="shared" si="32"/>
        <v>43393.573125000003</v>
      </c>
      <c r="H38" s="77">
        <f t="shared" si="32"/>
        <v>43393.573125000003</v>
      </c>
      <c r="I38" s="94">
        <f t="shared" si="2"/>
        <v>216967.86562500001</v>
      </c>
      <c r="K38" s="303"/>
      <c r="L38" s="127" t="s">
        <v>10</v>
      </c>
      <c r="M38" s="77">
        <f>+M35*M36</f>
        <v>16716.353021156254</v>
      </c>
      <c r="N38" s="77">
        <f t="shared" ref="N38:Q38" si="33">+N35*N36</f>
        <v>16716.353021156254</v>
      </c>
      <c r="O38" s="77">
        <f t="shared" si="33"/>
        <v>17823.272020312503</v>
      </c>
      <c r="P38" s="77">
        <f t="shared" si="33"/>
        <v>17823.272020312503</v>
      </c>
      <c r="Q38" s="77">
        <f t="shared" si="33"/>
        <v>18948.952358437506</v>
      </c>
      <c r="R38" s="94">
        <f t="shared" si="4"/>
        <v>88028.202441375033</v>
      </c>
      <c r="T38" s="134"/>
      <c r="U38" s="127"/>
      <c r="V38" s="77"/>
      <c r="W38" s="77"/>
      <c r="X38" s="77"/>
      <c r="Y38" s="77"/>
      <c r="Z38" s="77"/>
      <c r="AA38" s="77"/>
      <c r="AB38" s="77"/>
    </row>
    <row r="39" spans="2:28">
      <c r="B39" s="93"/>
      <c r="C39" s="127"/>
      <c r="D39" s="127"/>
      <c r="E39" s="127"/>
      <c r="F39" s="127"/>
      <c r="G39" s="127"/>
      <c r="H39" s="127"/>
      <c r="I39" s="97"/>
      <c r="K39" s="93"/>
      <c r="L39" s="127"/>
      <c r="M39" s="127"/>
      <c r="N39" s="127"/>
      <c r="O39" s="127"/>
      <c r="P39" s="127"/>
      <c r="Q39" s="127"/>
      <c r="R39" s="97"/>
      <c r="T39" s="127"/>
      <c r="U39" s="127"/>
      <c r="V39" s="127"/>
      <c r="W39" s="127"/>
      <c r="X39" s="127"/>
      <c r="Y39" s="127"/>
      <c r="Z39" s="127"/>
      <c r="AA39" s="127"/>
      <c r="AB39" s="127"/>
    </row>
    <row r="40" spans="2:28" s="123" customFormat="1">
      <c r="B40" s="304" t="s">
        <v>0</v>
      </c>
      <c r="C40" s="305"/>
      <c r="D40" s="305"/>
      <c r="E40" s="305"/>
      <c r="F40" s="305"/>
      <c r="G40" s="305"/>
      <c r="H40" s="305"/>
      <c r="I40" s="115"/>
      <c r="K40" s="304" t="s">
        <v>12</v>
      </c>
      <c r="L40" s="305"/>
      <c r="M40" s="305"/>
      <c r="N40" s="305"/>
      <c r="O40" s="305"/>
      <c r="P40" s="305"/>
      <c r="Q40" s="305"/>
      <c r="R40" s="115"/>
      <c r="T40" s="117"/>
      <c r="U40" s="117"/>
      <c r="V40" s="117"/>
      <c r="W40" s="117"/>
      <c r="X40" s="117"/>
      <c r="Y40" s="117"/>
      <c r="Z40" s="117"/>
      <c r="AA40" s="117"/>
      <c r="AB40" s="124"/>
    </row>
    <row r="41" spans="2:28" s="123" customFormat="1">
      <c r="B41" s="125"/>
      <c r="C41" s="124"/>
      <c r="D41" s="124" t="s">
        <v>5</v>
      </c>
      <c r="E41" s="124" t="s">
        <v>6</v>
      </c>
      <c r="F41" s="124" t="s">
        <v>7</v>
      </c>
      <c r="G41" s="124" t="s">
        <v>8</v>
      </c>
      <c r="H41" s="124" t="s">
        <v>9</v>
      </c>
      <c r="I41" s="115"/>
      <c r="K41" s="125"/>
      <c r="L41" s="124"/>
      <c r="M41" s="124" t="s">
        <v>5</v>
      </c>
      <c r="N41" s="124" t="s">
        <v>6</v>
      </c>
      <c r="O41" s="124" t="s">
        <v>7</v>
      </c>
      <c r="P41" s="124" t="s">
        <v>8</v>
      </c>
      <c r="Q41" s="124" t="s">
        <v>9</v>
      </c>
      <c r="R41" s="115"/>
      <c r="T41" s="124"/>
      <c r="U41" s="124"/>
      <c r="V41" s="124"/>
      <c r="W41" s="124"/>
      <c r="X41" s="124"/>
      <c r="Y41" s="124"/>
      <c r="Z41" s="124"/>
      <c r="AA41" s="124"/>
      <c r="AB41" s="124"/>
    </row>
    <row r="42" spans="2:28">
      <c r="B42" s="302">
        <v>2019</v>
      </c>
      <c r="C42" s="127" t="s">
        <v>2</v>
      </c>
      <c r="D42" s="98">
        <f>+D35*1.05</f>
        <v>1786.7941875000004</v>
      </c>
      <c r="E42" s="98">
        <f t="shared" ref="E42:H42" si="34">+E35*1.05</f>
        <v>1786.7941875000004</v>
      </c>
      <c r="F42" s="98">
        <f t="shared" si="34"/>
        <v>1786.7941875000004</v>
      </c>
      <c r="G42" s="98">
        <f t="shared" si="34"/>
        <v>1786.7941875000004</v>
      </c>
      <c r="H42" s="98">
        <f t="shared" si="34"/>
        <v>1786.7941875000004</v>
      </c>
      <c r="I42" s="99">
        <f t="shared" si="2"/>
        <v>8933.970937500002</v>
      </c>
      <c r="K42" s="303">
        <v>2019</v>
      </c>
      <c r="L42" s="127" t="s">
        <v>2</v>
      </c>
      <c r="M42" s="98">
        <f>+D42</f>
        <v>1786.7941875000004</v>
      </c>
      <c r="N42" s="98">
        <f t="shared" ref="N42:Q42" si="35">+E42</f>
        <v>1786.7941875000004</v>
      </c>
      <c r="O42" s="98">
        <f t="shared" si="35"/>
        <v>1786.7941875000004</v>
      </c>
      <c r="P42" s="98">
        <f t="shared" si="35"/>
        <v>1786.7941875000004</v>
      </c>
      <c r="Q42" s="98">
        <f t="shared" si="35"/>
        <v>1786.7941875000004</v>
      </c>
      <c r="R42" s="99">
        <f t="shared" si="4"/>
        <v>8933.970937500002</v>
      </c>
      <c r="T42" s="134"/>
      <c r="U42" s="127"/>
      <c r="V42" s="98"/>
      <c r="W42" s="98"/>
      <c r="X42" s="98"/>
      <c r="Y42" s="98"/>
      <c r="Z42" s="98"/>
      <c r="AA42" s="98"/>
      <c r="AB42" s="98"/>
    </row>
    <row r="43" spans="2:28">
      <c r="B43" s="302"/>
      <c r="C43" s="127" t="s">
        <v>3</v>
      </c>
      <c r="D43" s="77">
        <v>25.5</v>
      </c>
      <c r="E43" s="77">
        <v>25.5</v>
      </c>
      <c r="F43" s="77">
        <v>25.5</v>
      </c>
      <c r="G43" s="77">
        <v>25.5</v>
      </c>
      <c r="H43" s="77">
        <v>25.5</v>
      </c>
      <c r="I43" s="94"/>
      <c r="K43" s="303"/>
      <c r="L43" s="127" t="s">
        <v>3</v>
      </c>
      <c r="M43" s="77">
        <f>+M36</f>
        <v>9.8232750000000006</v>
      </c>
      <c r="N43" s="77">
        <f t="shared" ref="N43:Q43" si="36">+N36</f>
        <v>9.8232750000000006</v>
      </c>
      <c r="O43" s="77">
        <f t="shared" si="36"/>
        <v>10.473750000000001</v>
      </c>
      <c r="P43" s="77">
        <f t="shared" si="36"/>
        <v>10.473750000000001</v>
      </c>
      <c r="Q43" s="77">
        <f t="shared" si="36"/>
        <v>11.135250000000001</v>
      </c>
      <c r="R43" s="94"/>
      <c r="T43" s="134"/>
      <c r="U43" s="127"/>
      <c r="V43" s="77"/>
      <c r="W43" s="77"/>
      <c r="X43" s="77"/>
      <c r="Y43" s="77"/>
      <c r="Z43" s="77"/>
      <c r="AA43" s="77"/>
      <c r="AB43" s="77"/>
    </row>
    <row r="44" spans="2:28">
      <c r="B44" s="302"/>
      <c r="C44" s="127" t="s">
        <v>4</v>
      </c>
      <c r="D44" s="77">
        <f>+D45*0.12</f>
        <v>5467.5902137500007</v>
      </c>
      <c r="E44" s="77">
        <f t="shared" ref="E44:H44" si="37">+E45*0.12</f>
        <v>5467.5902137500007</v>
      </c>
      <c r="F44" s="77">
        <f t="shared" si="37"/>
        <v>5467.5902137500007</v>
      </c>
      <c r="G44" s="77">
        <f t="shared" si="37"/>
        <v>5467.5902137500007</v>
      </c>
      <c r="H44" s="77">
        <f t="shared" si="37"/>
        <v>5467.5902137500007</v>
      </c>
      <c r="I44" s="94">
        <f t="shared" si="2"/>
        <v>27337.951068750004</v>
      </c>
      <c r="K44" s="303"/>
      <c r="L44" s="127" t="s">
        <v>4</v>
      </c>
      <c r="M44" s="77">
        <f>+M45*0.12</f>
        <v>2106.2604806656877</v>
      </c>
      <c r="N44" s="77">
        <f t="shared" ref="N44:Q44" si="38">+N45*0.12</f>
        <v>2106.2604806656877</v>
      </c>
      <c r="O44" s="77">
        <f t="shared" si="38"/>
        <v>2245.7322745593756</v>
      </c>
      <c r="P44" s="77">
        <f t="shared" si="38"/>
        <v>2245.7322745593756</v>
      </c>
      <c r="Q44" s="77">
        <f t="shared" si="38"/>
        <v>2387.5679971631257</v>
      </c>
      <c r="R44" s="94">
        <f t="shared" si="4"/>
        <v>11091.553507613251</v>
      </c>
      <c r="T44" s="134"/>
      <c r="U44" s="127"/>
      <c r="V44" s="77"/>
      <c r="W44" s="77"/>
      <c r="X44" s="77"/>
      <c r="Y44" s="77"/>
      <c r="Z44" s="77"/>
      <c r="AA44" s="77"/>
      <c r="AB44" s="77"/>
    </row>
    <row r="45" spans="2:28">
      <c r="B45" s="302"/>
      <c r="C45" s="127" t="s">
        <v>10</v>
      </c>
      <c r="D45" s="77">
        <f>+D42*D43</f>
        <v>45563.251781250008</v>
      </c>
      <c r="E45" s="77">
        <f t="shared" ref="E45:H45" si="39">+E42*E43</f>
        <v>45563.251781250008</v>
      </c>
      <c r="F45" s="77">
        <f t="shared" si="39"/>
        <v>45563.251781250008</v>
      </c>
      <c r="G45" s="77">
        <f t="shared" si="39"/>
        <v>45563.251781250008</v>
      </c>
      <c r="H45" s="77">
        <f t="shared" si="39"/>
        <v>45563.251781250008</v>
      </c>
      <c r="I45" s="94">
        <f t="shared" si="2"/>
        <v>227816.25890625003</v>
      </c>
      <c r="K45" s="303"/>
      <c r="L45" s="127" t="s">
        <v>10</v>
      </c>
      <c r="M45" s="77">
        <f>+M42*M43</f>
        <v>17552.170672214066</v>
      </c>
      <c r="N45" s="77">
        <f t="shared" ref="N45:Q45" si="40">+N42*N43</f>
        <v>17552.170672214066</v>
      </c>
      <c r="O45" s="77">
        <f t="shared" si="40"/>
        <v>18714.435621328132</v>
      </c>
      <c r="P45" s="77">
        <f t="shared" si="40"/>
        <v>18714.435621328132</v>
      </c>
      <c r="Q45" s="77">
        <f t="shared" si="40"/>
        <v>19896.399976359382</v>
      </c>
      <c r="R45" s="94">
        <f t="shared" si="4"/>
        <v>92429.612563443778</v>
      </c>
      <c r="T45" s="134"/>
      <c r="U45" s="127"/>
      <c r="V45" s="77"/>
      <c r="W45" s="77"/>
      <c r="X45" s="77"/>
      <c r="Y45" s="77"/>
      <c r="Z45" s="77"/>
      <c r="AA45" s="77"/>
      <c r="AB45" s="77"/>
    </row>
    <row r="46" spans="2:28">
      <c r="B46" s="93"/>
      <c r="C46" s="127"/>
      <c r="D46" s="127"/>
      <c r="E46" s="127"/>
      <c r="F46" s="127"/>
      <c r="G46" s="127"/>
      <c r="H46" s="127"/>
      <c r="I46" s="97"/>
      <c r="K46" s="93"/>
      <c r="L46" s="127"/>
      <c r="M46" s="127"/>
      <c r="N46" s="127"/>
      <c r="O46" s="127"/>
      <c r="P46" s="127"/>
      <c r="Q46" s="127"/>
      <c r="R46" s="97"/>
      <c r="T46" s="127"/>
      <c r="U46" s="127"/>
      <c r="V46" s="127"/>
      <c r="W46" s="127"/>
      <c r="X46" s="127"/>
      <c r="Y46" s="127"/>
      <c r="Z46" s="127"/>
      <c r="AA46" s="127"/>
      <c r="AB46" s="127"/>
    </row>
    <row r="47" spans="2:28" s="123" customFormat="1">
      <c r="B47" s="304" t="s">
        <v>0</v>
      </c>
      <c r="C47" s="305"/>
      <c r="D47" s="305"/>
      <c r="E47" s="305"/>
      <c r="F47" s="305"/>
      <c r="G47" s="305"/>
      <c r="H47" s="305"/>
      <c r="I47" s="115"/>
      <c r="K47" s="304" t="s">
        <v>12</v>
      </c>
      <c r="L47" s="305"/>
      <c r="M47" s="305"/>
      <c r="N47" s="305"/>
      <c r="O47" s="305"/>
      <c r="P47" s="305"/>
      <c r="Q47" s="305"/>
      <c r="R47" s="115"/>
      <c r="T47" s="117"/>
      <c r="U47" s="117"/>
      <c r="V47" s="117"/>
      <c r="W47" s="117"/>
      <c r="X47" s="117"/>
      <c r="Y47" s="117"/>
      <c r="Z47" s="117"/>
      <c r="AA47" s="117"/>
      <c r="AB47" s="124"/>
    </row>
    <row r="48" spans="2:28" s="123" customFormat="1">
      <c r="B48" s="125"/>
      <c r="C48" s="124"/>
      <c r="D48" s="124" t="s">
        <v>5</v>
      </c>
      <c r="E48" s="124" t="s">
        <v>6</v>
      </c>
      <c r="F48" s="124" t="s">
        <v>7</v>
      </c>
      <c r="G48" s="124" t="s">
        <v>8</v>
      </c>
      <c r="H48" s="124" t="s">
        <v>9</v>
      </c>
      <c r="I48" s="115"/>
      <c r="K48" s="125"/>
      <c r="L48" s="124"/>
      <c r="M48" s="124" t="s">
        <v>5</v>
      </c>
      <c r="N48" s="124" t="s">
        <v>6</v>
      </c>
      <c r="O48" s="124" t="s">
        <v>7</v>
      </c>
      <c r="P48" s="124" t="s">
        <v>8</v>
      </c>
      <c r="Q48" s="124" t="s">
        <v>9</v>
      </c>
      <c r="R48" s="115"/>
      <c r="T48" s="124"/>
      <c r="U48" s="124"/>
      <c r="V48" s="124"/>
      <c r="W48" s="124"/>
      <c r="X48" s="124"/>
      <c r="Y48" s="124"/>
      <c r="Z48" s="124"/>
      <c r="AA48" s="124"/>
      <c r="AB48" s="124"/>
    </row>
    <row r="49" spans="1:28">
      <c r="B49" s="302">
        <v>2020</v>
      </c>
      <c r="C49" s="127" t="s">
        <v>2</v>
      </c>
      <c r="D49" s="98">
        <f>+D42*1.05</f>
        <v>1876.1338968750003</v>
      </c>
      <c r="E49" s="98">
        <f t="shared" ref="E49:H49" si="41">+E42*1.05</f>
        <v>1876.1338968750003</v>
      </c>
      <c r="F49" s="98">
        <f t="shared" si="41"/>
        <v>1876.1338968750003</v>
      </c>
      <c r="G49" s="98">
        <f t="shared" si="41"/>
        <v>1876.1338968750003</v>
      </c>
      <c r="H49" s="98">
        <f t="shared" si="41"/>
        <v>1876.1338968750003</v>
      </c>
      <c r="I49" s="99">
        <f t="shared" si="2"/>
        <v>9380.669484375001</v>
      </c>
      <c r="K49" s="303">
        <v>2020</v>
      </c>
      <c r="L49" s="127" t="s">
        <v>2</v>
      </c>
      <c r="M49" s="98">
        <f>+D49</f>
        <v>1876.1338968750003</v>
      </c>
      <c r="N49" s="98">
        <f t="shared" ref="N49:Q49" si="42">+E49</f>
        <v>1876.1338968750003</v>
      </c>
      <c r="O49" s="98">
        <f t="shared" si="42"/>
        <v>1876.1338968750003</v>
      </c>
      <c r="P49" s="98">
        <f t="shared" si="42"/>
        <v>1876.1338968750003</v>
      </c>
      <c r="Q49" s="98">
        <f t="shared" si="42"/>
        <v>1876.1338968750003</v>
      </c>
      <c r="R49" s="99">
        <f t="shared" si="4"/>
        <v>9380.669484375001</v>
      </c>
      <c r="T49" s="134"/>
      <c r="U49" s="127"/>
      <c r="V49" s="98"/>
      <c r="W49" s="98"/>
      <c r="X49" s="98"/>
      <c r="Y49" s="98"/>
      <c r="Z49" s="98"/>
      <c r="AA49" s="98"/>
      <c r="AB49" s="98"/>
    </row>
    <row r="50" spans="1:28">
      <c r="B50" s="302"/>
      <c r="C50" s="127" t="s">
        <v>3</v>
      </c>
      <c r="D50" s="77">
        <v>27.5</v>
      </c>
      <c r="E50" s="77">
        <v>27.5</v>
      </c>
      <c r="F50" s="77">
        <v>27.5</v>
      </c>
      <c r="G50" s="77">
        <v>27.5</v>
      </c>
      <c r="H50" s="77">
        <v>27.5</v>
      </c>
      <c r="I50" s="94"/>
      <c r="K50" s="303"/>
      <c r="L50" s="127" t="s">
        <v>3</v>
      </c>
      <c r="M50" s="77">
        <f>+M43*1.05</f>
        <v>10.314438750000001</v>
      </c>
      <c r="N50" s="77">
        <f t="shared" ref="N50:Q50" si="43">+N43*1.05</f>
        <v>10.314438750000001</v>
      </c>
      <c r="O50" s="77">
        <f t="shared" si="43"/>
        <v>10.997437500000002</v>
      </c>
      <c r="P50" s="77">
        <f t="shared" si="43"/>
        <v>10.997437500000002</v>
      </c>
      <c r="Q50" s="77">
        <f t="shared" si="43"/>
        <v>11.692012500000002</v>
      </c>
      <c r="R50" s="94"/>
      <c r="T50" s="134"/>
      <c r="U50" s="127"/>
      <c r="V50" s="77"/>
      <c r="W50" s="77"/>
      <c r="X50" s="77"/>
      <c r="Y50" s="77"/>
      <c r="Z50" s="77"/>
      <c r="AA50" s="77"/>
      <c r="AB50" s="77"/>
    </row>
    <row r="51" spans="1:28">
      <c r="B51" s="302"/>
      <c r="C51" s="127" t="s">
        <v>4</v>
      </c>
      <c r="D51" s="77">
        <f>+D52*0.12</f>
        <v>6191.2418596875013</v>
      </c>
      <c r="E51" s="77">
        <f t="shared" ref="E51:H51" si="44">+E52*0.12</f>
        <v>6191.2418596875013</v>
      </c>
      <c r="F51" s="77">
        <f t="shared" si="44"/>
        <v>6191.2418596875013</v>
      </c>
      <c r="G51" s="77">
        <f t="shared" si="44"/>
        <v>6191.2418596875013</v>
      </c>
      <c r="H51" s="77">
        <f t="shared" si="44"/>
        <v>6191.2418596875013</v>
      </c>
      <c r="I51" s="94">
        <f t="shared" si="2"/>
        <v>30956.209298437505</v>
      </c>
      <c r="K51" s="303"/>
      <c r="L51" s="127" t="s">
        <v>4</v>
      </c>
      <c r="M51" s="77">
        <f>+M52*0.12</f>
        <v>2322.1521799339212</v>
      </c>
      <c r="N51" s="77">
        <f t="shared" ref="N51:Q51" si="45">+N52*0.12</f>
        <v>2322.1521799339212</v>
      </c>
      <c r="O51" s="77">
        <f t="shared" si="45"/>
        <v>2475.919832701712</v>
      </c>
      <c r="P51" s="77">
        <f t="shared" si="45"/>
        <v>2475.919832701712</v>
      </c>
      <c r="Q51" s="77">
        <f t="shared" si="45"/>
        <v>2632.2937168723465</v>
      </c>
      <c r="R51" s="94">
        <f t="shared" si="4"/>
        <v>12228.437742143615</v>
      </c>
      <c r="T51" s="134"/>
      <c r="U51" s="127"/>
      <c r="V51" s="77"/>
      <c r="W51" s="77"/>
      <c r="X51" s="77"/>
      <c r="Y51" s="77"/>
      <c r="Z51" s="77"/>
      <c r="AA51" s="77"/>
      <c r="AB51" s="77"/>
    </row>
    <row r="52" spans="1:28">
      <c r="B52" s="302"/>
      <c r="C52" s="127" t="s">
        <v>10</v>
      </c>
      <c r="D52" s="77">
        <f>+D49*D50</f>
        <v>51593.682164062513</v>
      </c>
      <c r="E52" s="77">
        <f t="shared" ref="E52:H52" si="46">+E49*E50</f>
        <v>51593.682164062513</v>
      </c>
      <c r="F52" s="77">
        <f t="shared" si="46"/>
        <v>51593.682164062513</v>
      </c>
      <c r="G52" s="77">
        <f t="shared" si="46"/>
        <v>51593.682164062513</v>
      </c>
      <c r="H52" s="77">
        <f t="shared" si="46"/>
        <v>51593.682164062513</v>
      </c>
      <c r="I52" s="94">
        <f t="shared" si="2"/>
        <v>257968.41082031257</v>
      </c>
      <c r="K52" s="303"/>
      <c r="L52" s="127" t="s">
        <v>10</v>
      </c>
      <c r="M52" s="77">
        <f>+M49*M50</f>
        <v>19351.26816611601</v>
      </c>
      <c r="N52" s="77">
        <f t="shared" ref="N52:Q52" si="47">+N49*N50</f>
        <v>19351.26816611601</v>
      </c>
      <c r="O52" s="77">
        <f t="shared" si="47"/>
        <v>20632.665272514267</v>
      </c>
      <c r="P52" s="77">
        <f t="shared" si="47"/>
        <v>20632.665272514267</v>
      </c>
      <c r="Q52" s="77">
        <f t="shared" si="47"/>
        <v>21935.78097393622</v>
      </c>
      <c r="R52" s="94">
        <f t="shared" si="4"/>
        <v>101903.64785119676</v>
      </c>
      <c r="T52" s="134"/>
      <c r="U52" s="127"/>
      <c r="V52" s="77"/>
      <c r="W52" s="77"/>
      <c r="X52" s="77"/>
      <c r="Y52" s="77"/>
      <c r="Z52" s="77"/>
      <c r="AA52" s="77"/>
      <c r="AB52" s="77"/>
    </row>
    <row r="53" spans="1:28">
      <c r="B53" s="93"/>
      <c r="C53" s="127"/>
      <c r="D53" s="127"/>
      <c r="E53" s="127"/>
      <c r="F53" s="127"/>
      <c r="G53" s="127"/>
      <c r="H53" s="127"/>
      <c r="I53" s="97"/>
      <c r="K53" s="93"/>
      <c r="L53" s="127"/>
      <c r="M53" s="127"/>
      <c r="N53" s="127"/>
      <c r="O53" s="127"/>
      <c r="P53" s="127"/>
      <c r="Q53" s="127"/>
      <c r="R53" s="97"/>
      <c r="T53" s="127"/>
      <c r="U53" s="127"/>
      <c r="V53" s="127"/>
      <c r="W53" s="127"/>
      <c r="X53" s="127"/>
      <c r="Y53" s="127"/>
      <c r="Z53" s="127"/>
      <c r="AA53" s="127"/>
      <c r="AB53" s="127"/>
    </row>
    <row r="54" spans="1:28" s="123" customFormat="1">
      <c r="B54" s="304" t="s">
        <v>0</v>
      </c>
      <c r="C54" s="305"/>
      <c r="D54" s="305"/>
      <c r="E54" s="305"/>
      <c r="F54" s="305"/>
      <c r="G54" s="305"/>
      <c r="H54" s="305"/>
      <c r="I54" s="115"/>
      <c r="K54" s="304" t="s">
        <v>12</v>
      </c>
      <c r="L54" s="305"/>
      <c r="M54" s="305"/>
      <c r="N54" s="305"/>
      <c r="O54" s="305"/>
      <c r="P54" s="305"/>
      <c r="Q54" s="305"/>
      <c r="R54" s="115"/>
      <c r="T54" s="117"/>
      <c r="U54" s="117"/>
      <c r="V54" s="117"/>
      <c r="W54" s="117"/>
      <c r="X54" s="117"/>
      <c r="Y54" s="117"/>
      <c r="Z54" s="117"/>
      <c r="AA54" s="117"/>
      <c r="AB54" s="124"/>
    </row>
    <row r="55" spans="1:28" s="123" customFormat="1">
      <c r="B55" s="125"/>
      <c r="C55" s="124"/>
      <c r="D55" s="124" t="s">
        <v>5</v>
      </c>
      <c r="E55" s="124" t="s">
        <v>6</v>
      </c>
      <c r="F55" s="124" t="s">
        <v>7</v>
      </c>
      <c r="G55" s="124" t="s">
        <v>8</v>
      </c>
      <c r="H55" s="124" t="s">
        <v>9</v>
      </c>
      <c r="I55" s="115"/>
      <c r="K55" s="125"/>
      <c r="L55" s="124"/>
      <c r="M55" s="124" t="s">
        <v>5</v>
      </c>
      <c r="N55" s="124" t="s">
        <v>6</v>
      </c>
      <c r="O55" s="124" t="s">
        <v>7</v>
      </c>
      <c r="P55" s="124" t="s">
        <v>8</v>
      </c>
      <c r="Q55" s="124" t="s">
        <v>9</v>
      </c>
      <c r="R55" s="115"/>
      <c r="T55" s="124"/>
      <c r="U55" s="124"/>
      <c r="V55" s="124"/>
      <c r="W55" s="124"/>
      <c r="X55" s="124"/>
      <c r="Y55" s="124"/>
      <c r="Z55" s="124"/>
      <c r="AA55" s="124"/>
      <c r="AB55" s="124"/>
    </row>
    <row r="56" spans="1:28">
      <c r="B56" s="302">
        <v>2021</v>
      </c>
      <c r="C56" s="127" t="s">
        <v>2</v>
      </c>
      <c r="D56" s="98">
        <f>+D49*1.05</f>
        <v>1969.9405917187505</v>
      </c>
      <c r="E56" s="98">
        <f t="shared" ref="E56:H56" si="48">+E49*1.05</f>
        <v>1969.9405917187505</v>
      </c>
      <c r="F56" s="98">
        <f t="shared" si="48"/>
        <v>1969.9405917187505</v>
      </c>
      <c r="G56" s="98">
        <f t="shared" si="48"/>
        <v>1969.9405917187505</v>
      </c>
      <c r="H56" s="98">
        <f t="shared" si="48"/>
        <v>1969.9405917187505</v>
      </c>
      <c r="I56" s="99">
        <f t="shared" si="2"/>
        <v>9849.7029585937526</v>
      </c>
      <c r="K56" s="303">
        <v>2021</v>
      </c>
      <c r="L56" s="127" t="s">
        <v>2</v>
      </c>
      <c r="M56" s="98">
        <f>+D56</f>
        <v>1969.9405917187505</v>
      </c>
      <c r="N56" s="98">
        <f t="shared" ref="N56:Q56" si="49">+E56</f>
        <v>1969.9405917187505</v>
      </c>
      <c r="O56" s="98">
        <f t="shared" si="49"/>
        <v>1969.9405917187505</v>
      </c>
      <c r="P56" s="98">
        <f t="shared" si="49"/>
        <v>1969.9405917187505</v>
      </c>
      <c r="Q56" s="98">
        <f t="shared" si="49"/>
        <v>1969.9405917187505</v>
      </c>
      <c r="R56" s="99">
        <f t="shared" si="4"/>
        <v>9849.7029585937526</v>
      </c>
      <c r="T56" s="134"/>
      <c r="U56" s="127"/>
      <c r="V56" s="98"/>
      <c r="W56" s="98"/>
      <c r="X56" s="98"/>
      <c r="Y56" s="98"/>
      <c r="Z56" s="98"/>
      <c r="AA56" s="98"/>
      <c r="AB56" s="98"/>
    </row>
    <row r="57" spans="1:28">
      <c r="B57" s="302"/>
      <c r="C57" s="127" t="s">
        <v>3</v>
      </c>
      <c r="D57" s="77">
        <v>27.5</v>
      </c>
      <c r="E57" s="77">
        <v>27.5</v>
      </c>
      <c r="F57" s="77">
        <v>27.5</v>
      </c>
      <c r="G57" s="77">
        <v>27.5</v>
      </c>
      <c r="H57" s="77">
        <v>27.5</v>
      </c>
      <c r="I57" s="94"/>
      <c r="K57" s="303"/>
      <c r="L57" s="127" t="s">
        <v>3</v>
      </c>
      <c r="M57" s="77">
        <f>+M50</f>
        <v>10.314438750000001</v>
      </c>
      <c r="N57" s="77">
        <f t="shared" ref="N57:Q57" si="50">+N50</f>
        <v>10.314438750000001</v>
      </c>
      <c r="O57" s="77">
        <f t="shared" si="50"/>
        <v>10.997437500000002</v>
      </c>
      <c r="P57" s="77">
        <f t="shared" si="50"/>
        <v>10.997437500000002</v>
      </c>
      <c r="Q57" s="77">
        <f t="shared" si="50"/>
        <v>11.692012500000002</v>
      </c>
      <c r="R57" s="94"/>
      <c r="T57" s="134"/>
      <c r="U57" s="127"/>
      <c r="V57" s="77"/>
      <c r="W57" s="77"/>
      <c r="X57" s="77"/>
      <c r="Y57" s="77"/>
      <c r="Z57" s="77"/>
      <c r="AA57" s="77"/>
      <c r="AB57" s="77"/>
    </row>
    <row r="58" spans="1:28">
      <c r="B58" s="302"/>
      <c r="C58" s="127" t="s">
        <v>4</v>
      </c>
      <c r="D58" s="77">
        <f>+D59*0.12</f>
        <v>6500.8039526718758</v>
      </c>
      <c r="E58" s="77">
        <f t="shared" ref="E58:H58" si="51">+E59*0.12</f>
        <v>6500.8039526718758</v>
      </c>
      <c r="F58" s="77">
        <f t="shared" si="51"/>
        <v>6500.8039526718758</v>
      </c>
      <c r="G58" s="77">
        <f t="shared" si="51"/>
        <v>6500.8039526718758</v>
      </c>
      <c r="H58" s="77">
        <f t="shared" si="51"/>
        <v>6500.8039526718758</v>
      </c>
      <c r="I58" s="94">
        <f t="shared" si="2"/>
        <v>32504.019763359378</v>
      </c>
      <c r="K58" s="303"/>
      <c r="L58" s="127" t="s">
        <v>4</v>
      </c>
      <c r="M58" s="77">
        <f>+M59*0.12</f>
        <v>2438.2597889306176</v>
      </c>
      <c r="N58" s="77">
        <f t="shared" ref="N58:Q58" si="52">+N59*0.12</f>
        <v>2438.2597889306176</v>
      </c>
      <c r="O58" s="77">
        <f t="shared" si="52"/>
        <v>2599.7158243367976</v>
      </c>
      <c r="P58" s="77">
        <f t="shared" si="52"/>
        <v>2599.7158243367976</v>
      </c>
      <c r="Q58" s="77">
        <f t="shared" si="52"/>
        <v>2763.9084027159638</v>
      </c>
      <c r="R58" s="94">
        <f t="shared" si="4"/>
        <v>12839.859629250795</v>
      </c>
      <c r="T58" s="134"/>
      <c r="U58" s="127"/>
      <c r="V58" s="77"/>
      <c r="W58" s="77"/>
      <c r="X58" s="77"/>
      <c r="Y58" s="77"/>
      <c r="Z58" s="77"/>
      <c r="AA58" s="77"/>
      <c r="AB58" s="77"/>
    </row>
    <row r="59" spans="1:28" ht="15.75" thickBot="1">
      <c r="B59" s="306"/>
      <c r="C59" s="100" t="s">
        <v>10</v>
      </c>
      <c r="D59" s="95">
        <f>+D56*D57</f>
        <v>54173.366272265637</v>
      </c>
      <c r="E59" s="95">
        <f t="shared" ref="E59:H59" si="53">+E56*E57</f>
        <v>54173.366272265637</v>
      </c>
      <c r="F59" s="95">
        <f t="shared" si="53"/>
        <v>54173.366272265637</v>
      </c>
      <c r="G59" s="95">
        <f t="shared" si="53"/>
        <v>54173.366272265637</v>
      </c>
      <c r="H59" s="95">
        <f t="shared" si="53"/>
        <v>54173.366272265637</v>
      </c>
      <c r="I59" s="96">
        <f t="shared" si="2"/>
        <v>270866.83136132819</v>
      </c>
      <c r="K59" s="307"/>
      <c r="L59" s="100" t="s">
        <v>10</v>
      </c>
      <c r="M59" s="95">
        <f>+M56*M57</f>
        <v>20318.831574421813</v>
      </c>
      <c r="N59" s="95">
        <f t="shared" ref="N59:Q59" si="54">+N56*N57</f>
        <v>20318.831574421813</v>
      </c>
      <c r="O59" s="95">
        <f t="shared" si="54"/>
        <v>21664.298536139981</v>
      </c>
      <c r="P59" s="95">
        <f t="shared" si="54"/>
        <v>21664.298536139981</v>
      </c>
      <c r="Q59" s="95">
        <f t="shared" si="54"/>
        <v>23032.570022633034</v>
      </c>
      <c r="R59" s="96">
        <f t="shared" si="4"/>
        <v>106998.83024375662</v>
      </c>
      <c r="T59" s="134"/>
      <c r="U59" s="127"/>
      <c r="V59" s="77"/>
      <c r="W59" s="77"/>
      <c r="X59" s="77"/>
      <c r="Y59" s="77"/>
      <c r="Z59" s="77"/>
      <c r="AA59" s="77"/>
      <c r="AB59" s="77"/>
    </row>
    <row r="62" spans="1:28">
      <c r="A62" s="208"/>
      <c r="B62" s="208"/>
      <c r="C62" s="208"/>
      <c r="D62" s="208"/>
      <c r="E62" s="208"/>
      <c r="F62" s="208"/>
      <c r="G62" s="208"/>
      <c r="H62" s="208"/>
      <c r="I62" s="208"/>
      <c r="J62" s="208"/>
      <c r="K62" s="208"/>
    </row>
    <row r="63" spans="1:28">
      <c r="A63" s="208"/>
      <c r="K63" s="208"/>
    </row>
    <row r="64" spans="1:28">
      <c r="A64" s="208"/>
      <c r="K64" s="208"/>
    </row>
    <row r="65" spans="1:11">
      <c r="A65" s="208"/>
      <c r="B65" s="208"/>
      <c r="C65" s="208"/>
      <c r="D65" s="208"/>
      <c r="E65" s="208"/>
      <c r="F65" s="208"/>
      <c r="G65" s="208"/>
      <c r="H65" s="208"/>
      <c r="I65" s="208"/>
      <c r="J65" s="208"/>
      <c r="K65" s="208"/>
    </row>
    <row r="66" spans="1:11">
      <c r="A66" s="208"/>
      <c r="B66" s="208"/>
      <c r="C66" s="208"/>
      <c r="D66" s="35"/>
      <c r="E66" s="35"/>
      <c r="F66" s="35"/>
      <c r="G66" s="35"/>
      <c r="H66" s="35"/>
      <c r="I66" s="35"/>
      <c r="J66" s="35"/>
      <c r="K66" s="208"/>
    </row>
    <row r="67" spans="1:11" ht="23.25">
      <c r="A67" s="208"/>
      <c r="B67" s="308" t="s">
        <v>289</v>
      </c>
      <c r="C67" s="308"/>
      <c r="D67" s="308"/>
      <c r="E67" s="308"/>
      <c r="F67" s="308"/>
      <c r="G67" s="308"/>
      <c r="H67" s="308"/>
      <c r="I67" s="308"/>
      <c r="J67" s="308"/>
      <c r="K67" s="117"/>
    </row>
    <row r="68" spans="1:11" s="209" customFormat="1">
      <c r="A68" s="208"/>
      <c r="B68" s="208"/>
      <c r="C68" s="207">
        <v>2014</v>
      </c>
      <c r="D68" s="207">
        <v>2015</v>
      </c>
      <c r="E68" s="207">
        <v>2016</v>
      </c>
      <c r="F68" s="207">
        <v>2017</v>
      </c>
      <c r="G68" s="207">
        <v>2018</v>
      </c>
      <c r="H68" s="207">
        <v>2019</v>
      </c>
      <c r="I68" s="207">
        <v>2020</v>
      </c>
      <c r="J68" s="207">
        <v>2021</v>
      </c>
      <c r="K68" s="208"/>
    </row>
    <row r="69" spans="1:11" s="209" customFormat="1">
      <c r="A69" s="208"/>
      <c r="B69" s="279" t="s">
        <v>13</v>
      </c>
      <c r="C69" s="280">
        <f>+I10</f>
        <v>129500</v>
      </c>
      <c r="D69" s="280">
        <f>+I17</f>
        <v>158025</v>
      </c>
      <c r="E69" s="280">
        <f>+I24</f>
        <v>181361.25</v>
      </c>
      <c r="F69" s="280">
        <f>+I31</f>
        <v>190429.3125</v>
      </c>
      <c r="G69" s="280">
        <f>+I38</f>
        <v>216967.86562500001</v>
      </c>
      <c r="H69" s="280">
        <f>+I45</f>
        <v>227816.25890625003</v>
      </c>
      <c r="I69" s="280">
        <f>+I52</f>
        <v>257968.41082031257</v>
      </c>
      <c r="J69" s="280">
        <f>+I59</f>
        <v>270866.83136132819</v>
      </c>
      <c r="K69" s="208"/>
    </row>
    <row r="70" spans="1:11" s="209" customFormat="1" ht="15.75" thickBot="1">
      <c r="A70" s="208"/>
      <c r="B70" s="281" t="s">
        <v>14</v>
      </c>
      <c r="C70" s="282">
        <f>+R10</f>
        <v>65689.1774</v>
      </c>
      <c r="D70" s="282">
        <f>+R17</f>
        <v>68972.399999999994</v>
      </c>
      <c r="E70" s="282">
        <f>+R24</f>
        <v>76042.070999999996</v>
      </c>
      <c r="F70" s="282">
        <f>+R31</f>
        <v>79844.174550000011</v>
      </c>
      <c r="G70" s="282">
        <f>+R38</f>
        <v>88028.202441375033</v>
      </c>
      <c r="H70" s="282">
        <f>+R45</f>
        <v>92429.612563443778</v>
      </c>
      <c r="I70" s="282">
        <f>+R52</f>
        <v>101903.64785119676</v>
      </c>
      <c r="J70" s="282">
        <f>+R59</f>
        <v>106998.83024375662</v>
      </c>
      <c r="K70" s="208"/>
    </row>
    <row r="71" spans="1:11" ht="15.75" thickTop="1">
      <c r="A71" s="208"/>
      <c r="B71" s="275" t="s">
        <v>129</v>
      </c>
      <c r="C71" s="102">
        <f t="shared" ref="C71:J71" si="55">+(C69*30)/360</f>
        <v>10791.666666666666</v>
      </c>
      <c r="D71" s="102">
        <f t="shared" si="55"/>
        <v>13168.75</v>
      </c>
      <c r="E71" s="102">
        <f t="shared" si="55"/>
        <v>15113.4375</v>
      </c>
      <c r="F71" s="102">
        <f t="shared" si="55"/>
        <v>15869.109375</v>
      </c>
      <c r="G71" s="102">
        <f t="shared" si="55"/>
        <v>18080.655468749999</v>
      </c>
      <c r="H71" s="102">
        <f t="shared" si="55"/>
        <v>18984.688242187505</v>
      </c>
      <c r="I71" s="102">
        <f t="shared" si="55"/>
        <v>21497.367568359379</v>
      </c>
      <c r="J71" s="102">
        <f t="shared" si="55"/>
        <v>22572.235946777349</v>
      </c>
      <c r="K71" s="35"/>
    </row>
    <row r="72" spans="1:11" ht="15.75" thickBot="1">
      <c r="A72" s="208"/>
      <c r="B72" s="276" t="s">
        <v>288</v>
      </c>
      <c r="C72" s="277">
        <f t="shared" ref="C72:J72" si="56">360/(+C69/C71)</f>
        <v>30</v>
      </c>
      <c r="D72" s="277">
        <f t="shared" si="56"/>
        <v>30</v>
      </c>
      <c r="E72" s="277">
        <f t="shared" si="56"/>
        <v>30</v>
      </c>
      <c r="F72" s="277">
        <f t="shared" si="56"/>
        <v>30</v>
      </c>
      <c r="G72" s="277">
        <f t="shared" si="56"/>
        <v>30</v>
      </c>
      <c r="H72" s="277">
        <f t="shared" si="56"/>
        <v>30.000000000000004</v>
      </c>
      <c r="I72" s="277">
        <f t="shared" si="56"/>
        <v>30</v>
      </c>
      <c r="J72" s="277">
        <f t="shared" si="56"/>
        <v>30</v>
      </c>
      <c r="K72" s="208"/>
    </row>
    <row r="73" spans="1:11" ht="15.75" thickTop="1">
      <c r="A73" s="208"/>
      <c r="B73" s="275" t="s">
        <v>136</v>
      </c>
      <c r="C73" s="102">
        <f t="shared" ref="C73:J73" si="57">+(45*C70)/360</f>
        <v>8211.1471750000001</v>
      </c>
      <c r="D73" s="102">
        <f t="shared" si="57"/>
        <v>8621.5499999999993</v>
      </c>
      <c r="E73" s="102">
        <f t="shared" si="57"/>
        <v>9505.2588749999995</v>
      </c>
      <c r="F73" s="102">
        <f t="shared" si="57"/>
        <v>9980.5218187500013</v>
      </c>
      <c r="G73" s="102">
        <f t="shared" si="57"/>
        <v>11003.525305171879</v>
      </c>
      <c r="H73" s="102">
        <f t="shared" si="57"/>
        <v>11553.701570430472</v>
      </c>
      <c r="I73" s="102">
        <f t="shared" si="57"/>
        <v>12737.955981399595</v>
      </c>
      <c r="J73" s="102">
        <f t="shared" si="57"/>
        <v>13374.853780469577</v>
      </c>
      <c r="K73" s="35"/>
    </row>
    <row r="74" spans="1:11" ht="15.75" thickBot="1">
      <c r="A74" s="208"/>
      <c r="B74" s="276" t="s">
        <v>146</v>
      </c>
      <c r="C74" s="277">
        <f t="shared" ref="C74:J74" si="58">360/(C70/C73)</f>
        <v>45</v>
      </c>
      <c r="D74" s="277">
        <f t="shared" si="58"/>
        <v>45</v>
      </c>
      <c r="E74" s="277">
        <f t="shared" si="58"/>
        <v>45</v>
      </c>
      <c r="F74" s="277">
        <f t="shared" si="58"/>
        <v>45</v>
      </c>
      <c r="G74" s="277">
        <f t="shared" si="58"/>
        <v>45</v>
      </c>
      <c r="H74" s="277">
        <f t="shared" si="58"/>
        <v>45</v>
      </c>
      <c r="I74" s="277">
        <f t="shared" si="58"/>
        <v>45</v>
      </c>
      <c r="J74" s="277">
        <f t="shared" si="58"/>
        <v>45</v>
      </c>
      <c r="K74" s="208"/>
    </row>
    <row r="75" spans="1:11" ht="15.75" thickTop="1">
      <c r="A75" s="208"/>
      <c r="B75" s="275" t="s">
        <v>11</v>
      </c>
      <c r="C75" s="102">
        <f t="shared" ref="C75:J75" si="59">+(120*C70)/360</f>
        <v>21896.392466666664</v>
      </c>
      <c r="D75" s="102">
        <f t="shared" si="59"/>
        <v>22990.799999999996</v>
      </c>
      <c r="E75" s="102">
        <f t="shared" si="59"/>
        <v>25347.357</v>
      </c>
      <c r="F75" s="102">
        <f t="shared" si="59"/>
        <v>26614.724850000002</v>
      </c>
      <c r="G75" s="102">
        <f t="shared" si="59"/>
        <v>29342.734147125011</v>
      </c>
      <c r="H75" s="102">
        <f t="shared" si="59"/>
        <v>30809.870854481258</v>
      </c>
      <c r="I75" s="102">
        <f t="shared" si="59"/>
        <v>33967.882617065581</v>
      </c>
      <c r="J75" s="102">
        <f t="shared" si="59"/>
        <v>35666.276747918877</v>
      </c>
      <c r="K75" s="208"/>
    </row>
    <row r="76" spans="1:11" ht="15.75" thickBot="1">
      <c r="A76" s="208"/>
      <c r="B76" s="276" t="s">
        <v>147</v>
      </c>
      <c r="C76" s="278">
        <f t="shared" ref="C76:J76" si="60">360/(C70/C75)</f>
        <v>119.99999999999999</v>
      </c>
      <c r="D76" s="278">
        <f t="shared" si="60"/>
        <v>119.99999999999999</v>
      </c>
      <c r="E76" s="278">
        <f t="shared" si="60"/>
        <v>120</v>
      </c>
      <c r="F76" s="278">
        <f t="shared" si="60"/>
        <v>120</v>
      </c>
      <c r="G76" s="278">
        <f t="shared" si="60"/>
        <v>120</v>
      </c>
      <c r="H76" s="278">
        <f t="shared" si="60"/>
        <v>120</v>
      </c>
      <c r="I76" s="278">
        <f t="shared" si="60"/>
        <v>119.99999999999999</v>
      </c>
      <c r="J76" s="278">
        <f t="shared" si="60"/>
        <v>120.00000000000001</v>
      </c>
      <c r="K76" s="208"/>
    </row>
    <row r="77" spans="1:11" ht="15.75" thickTop="1">
      <c r="A77" s="208"/>
      <c r="B77" s="208"/>
      <c r="C77" s="208"/>
      <c r="D77" s="35"/>
      <c r="E77" s="35"/>
      <c r="F77" s="35"/>
      <c r="G77" s="35"/>
      <c r="H77" s="35"/>
      <c r="I77" s="35"/>
      <c r="J77" s="35"/>
      <c r="K77" s="208"/>
    </row>
    <row r="78" spans="1:11">
      <c r="A78" s="208"/>
      <c r="B78" s="274" t="s">
        <v>13</v>
      </c>
      <c r="C78" s="114">
        <f>+C71*12</f>
        <v>129500</v>
      </c>
      <c r="D78" s="114">
        <f t="shared" ref="D78:J78" si="61">+D71*12</f>
        <v>158025</v>
      </c>
      <c r="E78" s="114">
        <f t="shared" si="61"/>
        <v>181361.25</v>
      </c>
      <c r="F78" s="114">
        <f t="shared" si="61"/>
        <v>190429.3125</v>
      </c>
      <c r="G78" s="114">
        <f t="shared" si="61"/>
        <v>216967.86562499998</v>
      </c>
      <c r="H78" s="114">
        <f t="shared" si="61"/>
        <v>227816.25890625006</v>
      </c>
      <c r="I78" s="114">
        <f t="shared" si="61"/>
        <v>257968.41082031257</v>
      </c>
      <c r="J78" s="114">
        <f t="shared" si="61"/>
        <v>270866.83136132819</v>
      </c>
      <c r="K78" s="208"/>
    </row>
    <row r="79" spans="1:11">
      <c r="A79" s="208"/>
      <c r="B79" s="274" t="s">
        <v>15</v>
      </c>
      <c r="C79" s="114">
        <f>+C73*8</f>
        <v>65689.1774</v>
      </c>
      <c r="D79" s="114">
        <f t="shared" ref="D79:J79" si="62">+D73*8</f>
        <v>68972.399999999994</v>
      </c>
      <c r="E79" s="114">
        <f t="shared" si="62"/>
        <v>76042.070999999996</v>
      </c>
      <c r="F79" s="114">
        <f t="shared" si="62"/>
        <v>79844.174550000011</v>
      </c>
      <c r="G79" s="114">
        <f t="shared" si="62"/>
        <v>88028.202441375033</v>
      </c>
      <c r="H79" s="114">
        <f t="shared" si="62"/>
        <v>92429.612563443778</v>
      </c>
      <c r="I79" s="114">
        <f t="shared" si="62"/>
        <v>101903.64785119676</v>
      </c>
      <c r="J79" s="114">
        <f t="shared" si="62"/>
        <v>106998.83024375662</v>
      </c>
      <c r="K79" s="208"/>
    </row>
    <row r="80" spans="1:11">
      <c r="A80" s="208"/>
      <c r="B80" s="274" t="s">
        <v>11</v>
      </c>
      <c r="C80" s="114">
        <f>+C75*3</f>
        <v>65689.177399999986</v>
      </c>
      <c r="D80" s="114">
        <f>+D75*3</f>
        <v>68972.399999999994</v>
      </c>
      <c r="E80" s="114">
        <f t="shared" ref="E80:J80" si="63">+E75*3</f>
        <v>76042.070999999996</v>
      </c>
      <c r="F80" s="114">
        <f t="shared" si="63"/>
        <v>79844.174550000011</v>
      </c>
      <c r="G80" s="114">
        <f t="shared" si="63"/>
        <v>88028.202441375033</v>
      </c>
      <c r="H80" s="114">
        <f t="shared" si="63"/>
        <v>92429.612563443778</v>
      </c>
      <c r="I80" s="114">
        <f t="shared" si="63"/>
        <v>101903.64785119674</v>
      </c>
      <c r="J80" s="114">
        <f t="shared" si="63"/>
        <v>106998.83024375663</v>
      </c>
      <c r="K80" s="208"/>
    </row>
    <row r="81" spans="1:28">
      <c r="C81" s="3"/>
    </row>
    <row r="82" spans="1:28">
      <c r="D82" s="3"/>
    </row>
    <row r="83" spans="1:28" ht="21">
      <c r="B83" s="309" t="s">
        <v>145</v>
      </c>
      <c r="C83" s="309"/>
      <c r="D83" s="309"/>
      <c r="E83" s="309"/>
      <c r="F83" s="309"/>
      <c r="G83" s="309"/>
      <c r="H83" s="309"/>
      <c r="I83" s="309"/>
      <c r="J83" s="309"/>
      <c r="K83" s="118"/>
      <c r="N83" s="305" t="s">
        <v>67</v>
      </c>
      <c r="O83" s="305"/>
      <c r="P83" s="305"/>
      <c r="Q83" s="305"/>
      <c r="R83" s="305"/>
      <c r="S83" s="117"/>
      <c r="T83" s="117"/>
      <c r="U83" s="117"/>
      <c r="V83" s="117"/>
      <c r="W83" s="117"/>
      <c r="X83" s="117"/>
      <c r="Y83" s="117"/>
      <c r="Z83" s="117"/>
    </row>
    <row r="84" spans="1:28" ht="15.75" thickBot="1">
      <c r="C84" s="123">
        <v>2014</v>
      </c>
      <c r="D84" s="123">
        <v>2015</v>
      </c>
      <c r="E84" s="123">
        <v>2016</v>
      </c>
      <c r="F84" s="123">
        <v>2017</v>
      </c>
      <c r="G84" s="123">
        <v>2018</v>
      </c>
      <c r="H84" s="123">
        <v>2019</v>
      </c>
      <c r="I84" s="123">
        <v>2020</v>
      </c>
      <c r="J84" s="123">
        <v>2021</v>
      </c>
      <c r="N84" s="254"/>
      <c r="O84" s="254"/>
      <c r="P84" s="255" t="s">
        <v>53</v>
      </c>
      <c r="Q84" s="255" t="s">
        <v>54</v>
      </c>
      <c r="S84" s="124"/>
      <c r="T84" s="124"/>
      <c r="U84" s="124"/>
      <c r="V84" s="124"/>
      <c r="W84" s="124"/>
      <c r="X84" s="124"/>
      <c r="Y84" s="124"/>
      <c r="Z84" s="124"/>
    </row>
    <row r="85" spans="1:28" ht="15.75" thickTop="1">
      <c r="C85" s="123" t="s">
        <v>53</v>
      </c>
      <c r="D85" s="123" t="s">
        <v>54</v>
      </c>
      <c r="E85" s="123" t="s">
        <v>55</v>
      </c>
      <c r="F85" s="123" t="s">
        <v>56</v>
      </c>
      <c r="G85" s="123" t="s">
        <v>57</v>
      </c>
      <c r="H85" s="123" t="s">
        <v>58</v>
      </c>
      <c r="I85" s="123" t="s">
        <v>59</v>
      </c>
      <c r="J85" s="123" t="s">
        <v>60</v>
      </c>
      <c r="N85" s="305" t="s">
        <v>68</v>
      </c>
      <c r="O85" s="305"/>
      <c r="P85" s="77">
        <v>4000</v>
      </c>
      <c r="Q85" s="77">
        <v>4000</v>
      </c>
      <c r="R85" s="146"/>
      <c r="S85" s="127"/>
      <c r="T85" s="127"/>
      <c r="U85" s="127"/>
      <c r="V85" s="127"/>
      <c r="W85" s="127"/>
      <c r="X85" s="127"/>
      <c r="Y85" s="127"/>
    </row>
    <row r="86" spans="1:28">
      <c r="B86" s="78" t="s">
        <v>32</v>
      </c>
      <c r="C86" s="35">
        <f t="shared" ref="C86:J87" si="64">+C69</f>
        <v>129500</v>
      </c>
      <c r="D86" s="35">
        <f t="shared" si="64"/>
        <v>158025</v>
      </c>
      <c r="E86" s="35">
        <f t="shared" si="64"/>
        <v>181361.25</v>
      </c>
      <c r="F86" s="35">
        <f t="shared" si="64"/>
        <v>190429.3125</v>
      </c>
      <c r="G86" s="35">
        <f t="shared" si="64"/>
        <v>216967.86562500001</v>
      </c>
      <c r="H86" s="35">
        <f t="shared" si="64"/>
        <v>227816.25890625003</v>
      </c>
      <c r="I86" s="35">
        <f t="shared" si="64"/>
        <v>257968.41082031257</v>
      </c>
      <c r="J86" s="35">
        <f t="shared" si="64"/>
        <v>270866.83136132819</v>
      </c>
      <c r="N86" s="148"/>
      <c r="O86" s="148"/>
      <c r="P86" s="77"/>
      <c r="Q86" s="77"/>
      <c r="R86" s="146"/>
      <c r="S86" s="127"/>
      <c r="T86" s="127"/>
      <c r="U86" s="127"/>
      <c r="V86" s="127"/>
      <c r="W86" s="127"/>
      <c r="X86" s="127"/>
      <c r="Y86" s="127"/>
    </row>
    <row r="87" spans="1:28" ht="15.75" thickBot="1">
      <c r="B87" s="85" t="s">
        <v>272</v>
      </c>
      <c r="C87" s="39">
        <f t="shared" si="64"/>
        <v>65689.1774</v>
      </c>
      <c r="D87" s="39">
        <f t="shared" si="64"/>
        <v>68972.399999999994</v>
      </c>
      <c r="E87" s="39">
        <f t="shared" si="64"/>
        <v>76042.070999999996</v>
      </c>
      <c r="F87" s="39">
        <f t="shared" si="64"/>
        <v>79844.174550000011</v>
      </c>
      <c r="G87" s="39">
        <f t="shared" si="64"/>
        <v>88028.202441375033</v>
      </c>
      <c r="H87" s="39">
        <f t="shared" si="64"/>
        <v>92429.612563443778</v>
      </c>
      <c r="I87" s="39">
        <f t="shared" si="64"/>
        <v>101903.64785119676</v>
      </c>
      <c r="J87" s="39">
        <f t="shared" si="64"/>
        <v>106998.83024375662</v>
      </c>
      <c r="N87" s="311" t="s">
        <v>67</v>
      </c>
      <c r="O87" s="311"/>
      <c r="P87" s="88">
        <f>+P85/2</f>
        <v>2000</v>
      </c>
      <c r="Q87" s="88">
        <f>+Q85/2</f>
        <v>2000</v>
      </c>
      <c r="R87" s="146"/>
      <c r="S87" s="127"/>
      <c r="T87" s="127"/>
      <c r="U87" s="127"/>
      <c r="V87" s="127"/>
      <c r="W87" s="127"/>
      <c r="X87" s="127"/>
      <c r="Y87" s="127"/>
    </row>
    <row r="88" spans="1:28" ht="15.75" thickTop="1">
      <c r="B88" s="81" t="s">
        <v>33</v>
      </c>
      <c r="C88" s="103">
        <f>+C86-C87</f>
        <v>63810.8226</v>
      </c>
      <c r="D88" s="103">
        <f t="shared" ref="D88:J88" si="65">+D86-D87</f>
        <v>89052.6</v>
      </c>
      <c r="E88" s="103">
        <f t="shared" si="65"/>
        <v>105319.179</v>
      </c>
      <c r="F88" s="103">
        <f t="shared" si="65"/>
        <v>110585.13794999999</v>
      </c>
      <c r="G88" s="103">
        <f t="shared" si="65"/>
        <v>128939.66318362497</v>
      </c>
      <c r="H88" s="103">
        <f t="shared" si="65"/>
        <v>135386.64634280626</v>
      </c>
      <c r="I88" s="103">
        <f t="shared" si="65"/>
        <v>156064.76296911581</v>
      </c>
      <c r="J88" s="103">
        <f t="shared" si="65"/>
        <v>163868.00111757158</v>
      </c>
    </row>
    <row r="89" spans="1:28">
      <c r="B89" s="36" t="s">
        <v>34</v>
      </c>
    </row>
    <row r="90" spans="1:28">
      <c r="B90" s="37" t="s">
        <v>35</v>
      </c>
      <c r="N90" s="312"/>
      <c r="O90" s="312"/>
      <c r="P90" s="312"/>
      <c r="Q90" s="77"/>
      <c r="R90" s="77"/>
      <c r="S90" s="77"/>
      <c r="T90" s="77"/>
      <c r="U90" s="77"/>
      <c r="V90" s="77"/>
      <c r="W90" s="77"/>
      <c r="X90" s="77"/>
      <c r="Y90" s="77"/>
    </row>
    <row r="91" spans="1:28">
      <c r="A91" s="128" t="s">
        <v>261</v>
      </c>
      <c r="B91" s="76" t="s">
        <v>36</v>
      </c>
      <c r="C91" s="1">
        <f>1100*12</f>
        <v>13200</v>
      </c>
      <c r="D91" s="1">
        <f>+C91*1.05</f>
        <v>13860</v>
      </c>
      <c r="E91" s="1">
        <f t="shared" ref="E91:J92" si="66">+D91*1.05</f>
        <v>14553</v>
      </c>
      <c r="F91" s="1">
        <f t="shared" si="66"/>
        <v>15280.650000000001</v>
      </c>
      <c r="G91" s="1">
        <f t="shared" si="66"/>
        <v>16044.682500000003</v>
      </c>
      <c r="H91" s="1">
        <f t="shared" si="66"/>
        <v>16846.916625000002</v>
      </c>
      <c r="I91" s="1">
        <f t="shared" si="66"/>
        <v>17689.262456250002</v>
      </c>
      <c r="J91" s="1">
        <f t="shared" si="66"/>
        <v>18573.725579062502</v>
      </c>
    </row>
    <row r="92" spans="1:28">
      <c r="A92" s="128" t="s">
        <v>225</v>
      </c>
      <c r="B92" s="76" t="s">
        <v>153</v>
      </c>
      <c r="C92" s="1">
        <f>600*12</f>
        <v>7200</v>
      </c>
      <c r="D92" s="1">
        <f>+C92*1.05</f>
        <v>7560</v>
      </c>
      <c r="E92" s="1">
        <f t="shared" si="66"/>
        <v>7938</v>
      </c>
      <c r="F92" s="1">
        <f t="shared" si="66"/>
        <v>8334.9</v>
      </c>
      <c r="G92" s="1">
        <f t="shared" si="66"/>
        <v>8751.6450000000004</v>
      </c>
      <c r="H92" s="1">
        <f t="shared" si="66"/>
        <v>9189.2272500000017</v>
      </c>
      <c r="I92" s="1">
        <f t="shared" si="66"/>
        <v>9648.6886125000019</v>
      </c>
      <c r="J92" s="1">
        <f t="shared" si="66"/>
        <v>10131.123043125002</v>
      </c>
      <c r="Q92" s="315" t="s">
        <v>212</v>
      </c>
      <c r="R92" s="315"/>
      <c r="S92" s="315"/>
      <c r="T92" s="315"/>
      <c r="U92" s="315"/>
      <c r="V92" s="315"/>
      <c r="W92" s="315"/>
      <c r="X92" s="315"/>
      <c r="Y92" s="103"/>
      <c r="Z92" s="142" t="s">
        <v>127</v>
      </c>
      <c r="AA92" s="142" t="s">
        <v>213</v>
      </c>
      <c r="AB92" s="142" t="s">
        <v>223</v>
      </c>
    </row>
    <row r="93" spans="1:28">
      <c r="A93" s="126" t="s">
        <v>156</v>
      </c>
      <c r="B93" s="76" t="s">
        <v>37</v>
      </c>
      <c r="C93" s="1">
        <f>300*12</f>
        <v>3600</v>
      </c>
      <c r="D93" s="1">
        <f t="shared" ref="D93:J94" si="67">+C93*1.05</f>
        <v>3780</v>
      </c>
      <c r="E93" s="1">
        <f t="shared" si="67"/>
        <v>3969</v>
      </c>
      <c r="F93" s="1">
        <f t="shared" si="67"/>
        <v>4167.45</v>
      </c>
      <c r="G93" s="1">
        <f t="shared" si="67"/>
        <v>4375.8225000000002</v>
      </c>
      <c r="H93" s="1">
        <f t="shared" si="67"/>
        <v>4594.6136250000009</v>
      </c>
      <c r="I93" s="1">
        <f t="shared" si="67"/>
        <v>4824.344306250001</v>
      </c>
      <c r="J93" s="1">
        <f t="shared" si="67"/>
        <v>5065.5615215625012</v>
      </c>
      <c r="O93" s="305" t="s">
        <v>160</v>
      </c>
      <c r="P93" s="305"/>
      <c r="Q93" s="124" t="s">
        <v>53</v>
      </c>
      <c r="R93" s="124" t="s">
        <v>54</v>
      </c>
      <c r="S93" s="124" t="s">
        <v>55</v>
      </c>
      <c r="T93" s="124" t="s">
        <v>56</v>
      </c>
      <c r="U93" s="124" t="s">
        <v>57</v>
      </c>
      <c r="V93" s="124" t="s">
        <v>58</v>
      </c>
      <c r="W93" s="124" t="s">
        <v>59</v>
      </c>
      <c r="X93" s="115" t="s">
        <v>60</v>
      </c>
      <c r="Y93" s="124"/>
    </row>
    <row r="94" spans="1:28">
      <c r="A94" s="126" t="s">
        <v>157</v>
      </c>
      <c r="B94" s="76" t="s">
        <v>38</v>
      </c>
      <c r="C94" s="1">
        <f>1400*12</f>
        <v>16800</v>
      </c>
      <c r="D94" s="1">
        <f t="shared" si="67"/>
        <v>17640</v>
      </c>
      <c r="E94" s="1">
        <f t="shared" si="67"/>
        <v>18522</v>
      </c>
      <c r="F94" s="1">
        <f t="shared" si="67"/>
        <v>19448.100000000002</v>
      </c>
      <c r="G94" s="1">
        <f t="shared" si="67"/>
        <v>20420.505000000005</v>
      </c>
      <c r="H94" s="1">
        <f t="shared" si="67"/>
        <v>21441.530250000007</v>
      </c>
      <c r="I94" s="1">
        <f t="shared" si="67"/>
        <v>22513.606762500007</v>
      </c>
      <c r="J94" s="1">
        <f t="shared" si="67"/>
        <v>23639.28710062501</v>
      </c>
      <c r="O94" s="113" t="s">
        <v>53</v>
      </c>
      <c r="P94" s="116">
        <v>4000</v>
      </c>
      <c r="Q94" s="116">
        <f>4000/3</f>
        <v>1333.3333333333333</v>
      </c>
      <c r="R94" s="116">
        <f t="shared" ref="R94:S94" si="68">4000/3</f>
        <v>1333.3333333333333</v>
      </c>
      <c r="S94" s="116">
        <f t="shared" si="68"/>
        <v>1333.3333333333333</v>
      </c>
      <c r="T94" s="116"/>
      <c r="U94" s="116"/>
      <c r="V94" s="116"/>
      <c r="W94" s="116"/>
      <c r="X94" s="116"/>
      <c r="Y94" s="77"/>
      <c r="Z94" s="3">
        <f>+P94</f>
        <v>4000</v>
      </c>
      <c r="AA94" s="3">
        <f>+Q103</f>
        <v>1333.3333333333333</v>
      </c>
      <c r="AB94" s="3">
        <f>+Z94-AA94</f>
        <v>2666.666666666667</v>
      </c>
    </row>
    <row r="95" spans="1:28">
      <c r="A95" s="126" t="s">
        <v>158</v>
      </c>
      <c r="B95" s="76" t="s">
        <v>152</v>
      </c>
      <c r="C95" s="1">
        <f>1400*2</f>
        <v>2800</v>
      </c>
      <c r="D95" s="1"/>
      <c r="E95" s="1"/>
      <c r="F95" s="1"/>
      <c r="G95" s="1"/>
      <c r="H95" s="1"/>
      <c r="I95" s="1"/>
      <c r="J95" s="1"/>
      <c r="O95" s="127" t="s">
        <v>54</v>
      </c>
      <c r="P95" s="77">
        <v>1000</v>
      </c>
      <c r="Q95" s="77"/>
      <c r="R95" s="77">
        <f>1000/3</f>
        <v>333.33333333333331</v>
      </c>
      <c r="S95" s="77">
        <f t="shared" ref="S95:X100" si="69">1000/3</f>
        <v>333.33333333333331</v>
      </c>
      <c r="T95" s="77">
        <f t="shared" si="69"/>
        <v>333.33333333333331</v>
      </c>
      <c r="U95" s="77"/>
      <c r="V95" s="77"/>
      <c r="W95" s="77"/>
      <c r="X95" s="77"/>
      <c r="Y95" s="77"/>
      <c r="Z95" s="3">
        <f>+P95+Z94</f>
        <v>5000</v>
      </c>
      <c r="AA95" s="3">
        <f>+R103</f>
        <v>3000</v>
      </c>
      <c r="AB95" s="3">
        <f t="shared" ref="AB95:AB101" si="70">+Z95-AA95</f>
        <v>2000</v>
      </c>
    </row>
    <row r="96" spans="1:28">
      <c r="B96" s="251" t="s">
        <v>270</v>
      </c>
      <c r="C96" s="145">
        <f t="shared" ref="C96:J96" si="71">SUM(C91:C95)</f>
        <v>43600</v>
      </c>
      <c r="D96" s="145">
        <f t="shared" si="71"/>
        <v>42840</v>
      </c>
      <c r="E96" s="145">
        <f t="shared" si="71"/>
        <v>44982</v>
      </c>
      <c r="F96" s="145">
        <f t="shared" si="71"/>
        <v>47231.100000000006</v>
      </c>
      <c r="G96" s="145">
        <f t="shared" si="71"/>
        <v>49592.655000000006</v>
      </c>
      <c r="H96" s="145">
        <f t="shared" si="71"/>
        <v>52072.28775000001</v>
      </c>
      <c r="I96" s="145">
        <f t="shared" si="71"/>
        <v>54675.902137500016</v>
      </c>
      <c r="J96" s="145">
        <f t="shared" si="71"/>
        <v>57409.697244375013</v>
      </c>
      <c r="O96" s="127" t="s">
        <v>55</v>
      </c>
      <c r="P96" s="77">
        <v>1000</v>
      </c>
      <c r="Q96" s="77"/>
      <c r="R96" s="77"/>
      <c r="S96" s="77">
        <f>1000/3</f>
        <v>333.33333333333331</v>
      </c>
      <c r="T96" s="77">
        <f t="shared" si="69"/>
        <v>333.33333333333331</v>
      </c>
      <c r="U96" s="77">
        <f t="shared" si="69"/>
        <v>333.33333333333331</v>
      </c>
      <c r="V96" s="77"/>
      <c r="W96" s="77"/>
      <c r="X96" s="77"/>
      <c r="Y96" s="77"/>
      <c r="Z96" s="3">
        <f t="shared" ref="Z96:Z101" si="72">+P96+Z95</f>
        <v>6000</v>
      </c>
      <c r="AA96" s="3">
        <f>+S103</f>
        <v>5000</v>
      </c>
      <c r="AB96" s="3">
        <f t="shared" si="70"/>
        <v>1000</v>
      </c>
    </row>
    <row r="97" spans="1:28">
      <c r="B97" s="37" t="s">
        <v>13</v>
      </c>
      <c r="C97" s="1"/>
      <c r="D97" s="1"/>
      <c r="E97" s="1"/>
      <c r="F97" s="1"/>
      <c r="G97" s="1"/>
      <c r="H97" s="1"/>
      <c r="I97" s="1"/>
      <c r="J97" s="1"/>
      <c r="O97" s="127" t="s">
        <v>56</v>
      </c>
      <c r="P97" s="77">
        <v>1000</v>
      </c>
      <c r="Q97" s="77"/>
      <c r="R97" s="77"/>
      <c r="S97" s="77"/>
      <c r="T97" s="77">
        <f>1000/3</f>
        <v>333.33333333333331</v>
      </c>
      <c r="U97" s="77">
        <f t="shared" si="69"/>
        <v>333.33333333333331</v>
      </c>
      <c r="V97" s="77">
        <f t="shared" si="69"/>
        <v>333.33333333333331</v>
      </c>
      <c r="W97" s="77"/>
      <c r="X97" s="77"/>
      <c r="Y97" s="77"/>
      <c r="Z97" s="3">
        <f t="shared" si="72"/>
        <v>7000</v>
      </c>
      <c r="AA97" s="3">
        <f>+T103</f>
        <v>6000</v>
      </c>
      <c r="AB97" s="3">
        <f t="shared" si="70"/>
        <v>1000</v>
      </c>
    </row>
    <row r="98" spans="1:28">
      <c r="A98" s="126" t="s">
        <v>149</v>
      </c>
      <c r="B98" s="76" t="s">
        <v>39</v>
      </c>
      <c r="C98" s="1">
        <f>+(700*12)*2</f>
        <v>16800</v>
      </c>
      <c r="D98" s="1">
        <f t="shared" ref="D98:J98" si="73">+C98*1.05</f>
        <v>17640</v>
      </c>
      <c r="E98" s="1">
        <f t="shared" si="73"/>
        <v>18522</v>
      </c>
      <c r="F98" s="1">
        <f t="shared" si="73"/>
        <v>19448.100000000002</v>
      </c>
      <c r="G98" s="1">
        <f t="shared" si="73"/>
        <v>20420.505000000005</v>
      </c>
      <c r="H98" s="1">
        <f t="shared" si="73"/>
        <v>21441.530250000007</v>
      </c>
      <c r="I98" s="1">
        <f t="shared" si="73"/>
        <v>22513.606762500007</v>
      </c>
      <c r="J98" s="1">
        <f t="shared" si="73"/>
        <v>23639.28710062501</v>
      </c>
      <c r="O98" s="127" t="s">
        <v>57</v>
      </c>
      <c r="P98" s="77">
        <v>1000</v>
      </c>
      <c r="Q98" s="77"/>
      <c r="R98" s="77"/>
      <c r="S98" s="77"/>
      <c r="T98" s="77"/>
      <c r="U98" s="77">
        <f>1000/3</f>
        <v>333.33333333333331</v>
      </c>
      <c r="V98" s="77">
        <f t="shared" si="69"/>
        <v>333.33333333333331</v>
      </c>
      <c r="W98" s="77">
        <f t="shared" si="69"/>
        <v>333.33333333333331</v>
      </c>
      <c r="X98" s="77"/>
      <c r="Y98" s="77"/>
      <c r="Z98" s="3">
        <f t="shared" si="72"/>
        <v>8000</v>
      </c>
      <c r="AA98" s="3">
        <f>+U103</f>
        <v>7000</v>
      </c>
      <c r="AB98" s="3">
        <f t="shared" si="70"/>
        <v>1000</v>
      </c>
    </row>
    <row r="99" spans="1:28">
      <c r="B99" s="251" t="s">
        <v>269</v>
      </c>
      <c r="C99" s="140">
        <f>SUM(C98)</f>
        <v>16800</v>
      </c>
      <c r="D99" s="140">
        <f t="shared" ref="D99:J99" si="74">SUM(D98)</f>
        <v>17640</v>
      </c>
      <c r="E99" s="140">
        <f t="shared" si="74"/>
        <v>18522</v>
      </c>
      <c r="F99" s="140">
        <f t="shared" si="74"/>
        <v>19448.100000000002</v>
      </c>
      <c r="G99" s="140">
        <f t="shared" si="74"/>
        <v>20420.505000000005</v>
      </c>
      <c r="H99" s="140">
        <f t="shared" si="74"/>
        <v>21441.530250000007</v>
      </c>
      <c r="I99" s="140">
        <f t="shared" si="74"/>
        <v>22513.606762500007</v>
      </c>
      <c r="J99" s="140">
        <f t="shared" si="74"/>
        <v>23639.28710062501</v>
      </c>
      <c r="O99" s="127" t="s">
        <v>58</v>
      </c>
      <c r="P99" s="77">
        <v>1000</v>
      </c>
      <c r="Q99" s="77"/>
      <c r="R99" s="77"/>
      <c r="S99" s="77"/>
      <c r="T99" s="77"/>
      <c r="U99" s="77"/>
      <c r="V99" s="77">
        <f>1000/3</f>
        <v>333.33333333333331</v>
      </c>
      <c r="W99" s="77">
        <f t="shared" si="69"/>
        <v>333.33333333333331</v>
      </c>
      <c r="X99" s="77">
        <f t="shared" si="69"/>
        <v>333.33333333333331</v>
      </c>
      <c r="Y99" s="77"/>
      <c r="Z99" s="3">
        <f t="shared" si="72"/>
        <v>9000</v>
      </c>
      <c r="AA99" s="3">
        <f>+V103</f>
        <v>8000</v>
      </c>
      <c r="AB99" s="3">
        <f t="shared" si="70"/>
        <v>1000</v>
      </c>
    </row>
    <row r="100" spans="1:28">
      <c r="B100" s="80" t="s">
        <v>40</v>
      </c>
      <c r="C100" s="1"/>
      <c r="D100" s="1"/>
      <c r="E100" s="1"/>
      <c r="F100" s="1"/>
      <c r="G100" s="1"/>
      <c r="H100" s="1"/>
      <c r="I100" s="1"/>
      <c r="J100" s="1"/>
      <c r="O100" s="127" t="s">
        <v>59</v>
      </c>
      <c r="P100" s="77">
        <v>1000</v>
      </c>
      <c r="Q100" s="77"/>
      <c r="R100" s="77"/>
      <c r="S100" s="77"/>
      <c r="T100" s="77"/>
      <c r="U100" s="77"/>
      <c r="V100" s="77"/>
      <c r="W100" s="77">
        <f>1000/3</f>
        <v>333.33333333333331</v>
      </c>
      <c r="X100" s="77">
        <f t="shared" si="69"/>
        <v>333.33333333333331</v>
      </c>
      <c r="Y100" s="77"/>
      <c r="Z100" s="3">
        <f t="shared" si="72"/>
        <v>10000</v>
      </c>
      <c r="AA100" s="3">
        <f>+W103</f>
        <v>9000</v>
      </c>
      <c r="AB100" s="3">
        <f t="shared" si="70"/>
        <v>1000</v>
      </c>
    </row>
    <row r="101" spans="1:28" ht="15.75" thickBot="1">
      <c r="B101" s="76" t="s">
        <v>41</v>
      </c>
      <c r="C101" s="1">
        <f>+'PRESUPUESTO MARKETING'!E20</f>
        <v>6170</v>
      </c>
      <c r="D101" s="1">
        <f>+'PRESUPUESTO MARKETING'!G20</f>
        <v>9620</v>
      </c>
      <c r="E101" s="1">
        <f>+'PRESUPUESTO MARKETING'!I20</f>
        <v>10904</v>
      </c>
      <c r="F101" s="1">
        <f>+'PRESUPUESTO MARKETING'!K20</f>
        <v>11900.96</v>
      </c>
      <c r="G101" s="1">
        <f>+'PRESUPUESTO MARKETING'!M20</f>
        <v>13204.582399999999</v>
      </c>
      <c r="H101" s="1">
        <f>+'PRESUPUESTO MARKETING'!O20</f>
        <v>15609.798655999999</v>
      </c>
      <c r="I101" s="1">
        <f>+'PRESUPUESTO MARKETING'!Q20</f>
        <v>22940.910064639997</v>
      </c>
      <c r="J101" s="1">
        <f>+'PRESUPUESTO MARKETING'!S20</f>
        <v>31647.710493081595</v>
      </c>
      <c r="O101" s="89" t="s">
        <v>60</v>
      </c>
      <c r="P101" s="88">
        <v>1000</v>
      </c>
      <c r="Q101" s="88"/>
      <c r="R101" s="88"/>
      <c r="S101" s="88"/>
      <c r="T101" s="88"/>
      <c r="U101" s="88"/>
      <c r="V101" s="88"/>
      <c r="W101" s="88"/>
      <c r="X101" s="88">
        <f>1000/3</f>
        <v>333.33333333333331</v>
      </c>
      <c r="Y101" s="77"/>
      <c r="Z101" s="3">
        <f t="shared" si="72"/>
        <v>11000</v>
      </c>
      <c r="AA101" s="3">
        <f>+X103</f>
        <v>10000</v>
      </c>
      <c r="AB101" s="3">
        <f t="shared" si="70"/>
        <v>1000</v>
      </c>
    </row>
    <row r="102" spans="1:28" ht="15.75" thickTop="1">
      <c r="A102" s="126" t="s">
        <v>156</v>
      </c>
      <c r="B102" s="76" t="s">
        <v>42</v>
      </c>
      <c r="C102" s="1">
        <f>300*12</f>
        <v>3600</v>
      </c>
      <c r="D102" s="1">
        <f t="shared" ref="D102:J104" si="75">+C102*1.05</f>
        <v>3780</v>
      </c>
      <c r="E102" s="1">
        <f t="shared" si="75"/>
        <v>3969</v>
      </c>
      <c r="F102" s="1">
        <f t="shared" si="75"/>
        <v>4167.45</v>
      </c>
      <c r="G102" s="1">
        <f t="shared" si="75"/>
        <v>4375.8225000000002</v>
      </c>
      <c r="H102" s="1">
        <f t="shared" si="75"/>
        <v>4594.6136250000009</v>
      </c>
      <c r="I102" s="1">
        <f t="shared" si="75"/>
        <v>4824.344306250001</v>
      </c>
      <c r="J102" s="1">
        <f t="shared" si="75"/>
        <v>5065.5615215625012</v>
      </c>
      <c r="O102" s="312" t="s">
        <v>61</v>
      </c>
      <c r="P102" s="312"/>
      <c r="Q102" s="77">
        <f t="shared" ref="Q102:X102" si="76">+SUM(Q94:Q101)</f>
        <v>1333.3333333333333</v>
      </c>
      <c r="R102" s="77">
        <f t="shared" si="76"/>
        <v>1666.6666666666665</v>
      </c>
      <c r="S102" s="77">
        <f t="shared" si="76"/>
        <v>1999.9999999999998</v>
      </c>
      <c r="T102" s="77">
        <f t="shared" si="76"/>
        <v>1000</v>
      </c>
      <c r="U102" s="77">
        <f t="shared" si="76"/>
        <v>1000</v>
      </c>
      <c r="V102" s="77">
        <f t="shared" si="76"/>
        <v>1000</v>
      </c>
      <c r="W102" s="77">
        <f t="shared" si="76"/>
        <v>1000</v>
      </c>
      <c r="X102" s="77">
        <f t="shared" si="76"/>
        <v>1000</v>
      </c>
      <c r="Y102" s="77"/>
    </row>
    <row r="103" spans="1:28">
      <c r="A103" s="126" t="s">
        <v>148</v>
      </c>
      <c r="B103" s="76" t="s">
        <v>43</v>
      </c>
      <c r="C103" s="1">
        <f>175*12</f>
        <v>2100</v>
      </c>
      <c r="D103" s="1">
        <f t="shared" si="75"/>
        <v>2205</v>
      </c>
      <c r="E103" s="1">
        <f t="shared" si="75"/>
        <v>2315.25</v>
      </c>
      <c r="F103" s="1">
        <f t="shared" si="75"/>
        <v>2431.0125000000003</v>
      </c>
      <c r="G103" s="1">
        <f t="shared" si="75"/>
        <v>2552.5631250000006</v>
      </c>
      <c r="H103" s="1">
        <f t="shared" si="75"/>
        <v>2680.1912812500009</v>
      </c>
      <c r="I103" s="1">
        <f t="shared" si="75"/>
        <v>2814.2008453125009</v>
      </c>
      <c r="J103" s="1">
        <f t="shared" si="75"/>
        <v>2954.9108875781262</v>
      </c>
      <c r="O103" s="313" t="s">
        <v>159</v>
      </c>
      <c r="P103" s="313"/>
      <c r="Q103" s="3">
        <f>+Q102</f>
        <v>1333.3333333333333</v>
      </c>
      <c r="R103" s="3">
        <f t="shared" ref="R103:X103" si="77">+R102+Q103</f>
        <v>3000</v>
      </c>
      <c r="S103" s="3">
        <f t="shared" si="77"/>
        <v>5000</v>
      </c>
      <c r="T103" s="3">
        <f t="shared" si="77"/>
        <v>6000</v>
      </c>
      <c r="U103" s="3">
        <f t="shared" si="77"/>
        <v>7000</v>
      </c>
      <c r="V103" s="3">
        <f t="shared" si="77"/>
        <v>8000</v>
      </c>
      <c r="W103" s="3">
        <f t="shared" si="77"/>
        <v>9000</v>
      </c>
      <c r="X103" s="3">
        <f t="shared" si="77"/>
        <v>10000</v>
      </c>
      <c r="Y103" s="3"/>
    </row>
    <row r="104" spans="1:28">
      <c r="A104" s="126" t="s">
        <v>161</v>
      </c>
      <c r="B104" s="76" t="s">
        <v>150</v>
      </c>
      <c r="C104" s="1">
        <f>1000*3</f>
        <v>3000</v>
      </c>
      <c r="D104" s="1">
        <f>+C104*1.05</f>
        <v>3150</v>
      </c>
      <c r="E104" s="1">
        <f t="shared" si="75"/>
        <v>3307.5</v>
      </c>
      <c r="F104" s="1">
        <f t="shared" si="75"/>
        <v>3472.875</v>
      </c>
      <c r="G104" s="1">
        <f t="shared" si="75"/>
        <v>3646.5187500000002</v>
      </c>
      <c r="H104" s="1">
        <f t="shared" si="75"/>
        <v>3828.8446875000004</v>
      </c>
      <c r="I104" s="1">
        <f t="shared" si="75"/>
        <v>4020.2869218750006</v>
      </c>
      <c r="J104" s="1">
        <f t="shared" si="75"/>
        <v>4221.3012679687508</v>
      </c>
    </row>
    <row r="105" spans="1:28">
      <c r="B105" s="251" t="s">
        <v>268</v>
      </c>
      <c r="C105" s="140">
        <f>SUM(C101:C104)</f>
        <v>14870</v>
      </c>
      <c r="D105" s="140">
        <f t="shared" ref="D105:J105" si="78">SUM(D101:D104)</f>
        <v>18755</v>
      </c>
      <c r="E105" s="140">
        <f t="shared" si="78"/>
        <v>20495.75</v>
      </c>
      <c r="F105" s="140">
        <f t="shared" si="78"/>
        <v>21972.297500000001</v>
      </c>
      <c r="G105" s="140">
        <f t="shared" si="78"/>
        <v>23779.486775000001</v>
      </c>
      <c r="H105" s="140">
        <f t="shared" si="78"/>
        <v>26713.448249750003</v>
      </c>
      <c r="I105" s="140">
        <f t="shared" si="78"/>
        <v>34599.742138077498</v>
      </c>
      <c r="J105" s="140">
        <f t="shared" si="78"/>
        <v>43889.484170190975</v>
      </c>
    </row>
    <row r="106" spans="1:28">
      <c r="B106" s="79" t="s">
        <v>44</v>
      </c>
      <c r="Q106" s="3"/>
      <c r="R106" s="3"/>
      <c r="S106" s="3"/>
      <c r="T106" s="3"/>
      <c r="U106" s="3"/>
      <c r="V106" s="3"/>
      <c r="W106" s="3"/>
      <c r="X106" s="3"/>
      <c r="Y106" s="3"/>
    </row>
    <row r="107" spans="1:28">
      <c r="A107" s="126" t="s">
        <v>63</v>
      </c>
      <c r="B107" s="83" t="s">
        <v>45</v>
      </c>
      <c r="C107" s="3">
        <f t="shared" ref="C107:J107" si="79">+Q118</f>
        <v>2000</v>
      </c>
      <c r="D107" s="3">
        <f t="shared" si="79"/>
        <v>2500</v>
      </c>
      <c r="E107" s="3">
        <f t="shared" si="79"/>
        <v>3000</v>
      </c>
      <c r="F107" s="3">
        <f t="shared" si="79"/>
        <v>3500</v>
      </c>
      <c r="G107" s="3">
        <f t="shared" si="79"/>
        <v>4000</v>
      </c>
      <c r="H107" s="3">
        <f t="shared" si="79"/>
        <v>4500</v>
      </c>
      <c r="I107" s="3">
        <f t="shared" si="79"/>
        <v>5000</v>
      </c>
      <c r="J107" s="3">
        <f t="shared" si="79"/>
        <v>5500</v>
      </c>
    </row>
    <row r="108" spans="1:28">
      <c r="A108" s="126" t="s">
        <v>64</v>
      </c>
      <c r="B108" s="83" t="s">
        <v>46</v>
      </c>
      <c r="C108" s="3">
        <f t="shared" ref="C108:J108" si="80">+Q102</f>
        <v>1333.3333333333333</v>
      </c>
      <c r="D108" s="3">
        <f t="shared" si="80"/>
        <v>1666.6666666666665</v>
      </c>
      <c r="E108" s="3">
        <f t="shared" si="80"/>
        <v>1999.9999999999998</v>
      </c>
      <c r="F108" s="3">
        <f t="shared" si="80"/>
        <v>1000</v>
      </c>
      <c r="G108" s="3">
        <f t="shared" si="80"/>
        <v>1000</v>
      </c>
      <c r="H108" s="3">
        <f t="shared" si="80"/>
        <v>1000</v>
      </c>
      <c r="I108" s="3">
        <f t="shared" si="80"/>
        <v>1000</v>
      </c>
      <c r="J108" s="3">
        <f t="shared" si="80"/>
        <v>1000</v>
      </c>
      <c r="Z108" s="1"/>
    </row>
    <row r="109" spans="1:28">
      <c r="A109" s="126" t="s">
        <v>65</v>
      </c>
      <c r="B109" s="82" t="s">
        <v>47</v>
      </c>
      <c r="C109" s="1">
        <f>+P87</f>
        <v>2000</v>
      </c>
      <c r="D109" s="1">
        <f>+Q87</f>
        <v>2000</v>
      </c>
      <c r="O109" s="305" t="s">
        <v>62</v>
      </c>
      <c r="P109" s="305"/>
      <c r="Q109" s="124" t="s">
        <v>53</v>
      </c>
      <c r="R109" s="124" t="s">
        <v>54</v>
      </c>
      <c r="S109" s="124" t="s">
        <v>55</v>
      </c>
      <c r="T109" s="124" t="s">
        <v>56</v>
      </c>
      <c r="U109" s="124" t="s">
        <v>57</v>
      </c>
      <c r="V109" s="124" t="s">
        <v>58</v>
      </c>
      <c r="W109" s="124" t="s">
        <v>59</v>
      </c>
      <c r="X109" s="124" t="s">
        <v>60</v>
      </c>
      <c r="Y109" s="124"/>
      <c r="Z109" s="142" t="s">
        <v>127</v>
      </c>
      <c r="AA109" s="142" t="s">
        <v>213</v>
      </c>
      <c r="AB109" s="142" t="s">
        <v>223</v>
      </c>
    </row>
    <row r="110" spans="1:28">
      <c r="B110" s="252" t="s">
        <v>271</v>
      </c>
      <c r="C110" s="140">
        <f>SUM(C107:C109)</f>
        <v>5333.333333333333</v>
      </c>
      <c r="D110" s="140">
        <f t="shared" ref="D110:J110" si="81">SUM(D107:D109)</f>
        <v>6166.6666666666661</v>
      </c>
      <c r="E110" s="140">
        <f t="shared" si="81"/>
        <v>5000</v>
      </c>
      <c r="F110" s="140">
        <f t="shared" si="81"/>
        <v>4500</v>
      </c>
      <c r="G110" s="140">
        <f t="shared" si="81"/>
        <v>5000</v>
      </c>
      <c r="H110" s="140">
        <f t="shared" si="81"/>
        <v>5500</v>
      </c>
      <c r="I110" s="140">
        <f t="shared" si="81"/>
        <v>6000</v>
      </c>
      <c r="J110" s="140">
        <f t="shared" si="81"/>
        <v>6500</v>
      </c>
      <c r="O110" s="113" t="s">
        <v>53</v>
      </c>
      <c r="P110" s="116">
        <v>20000</v>
      </c>
      <c r="Q110" s="116">
        <v>2000</v>
      </c>
      <c r="R110" s="116">
        <v>2000</v>
      </c>
      <c r="S110" s="116">
        <v>2000</v>
      </c>
      <c r="T110" s="116">
        <v>2000</v>
      </c>
      <c r="U110" s="116">
        <v>2000</v>
      </c>
      <c r="V110" s="116">
        <v>2000</v>
      </c>
      <c r="W110" s="116">
        <v>2000</v>
      </c>
      <c r="X110" s="116">
        <v>2000</v>
      </c>
      <c r="Y110" s="77"/>
      <c r="Z110" s="3">
        <f>+P110</f>
        <v>20000</v>
      </c>
      <c r="AA110" s="3">
        <f>+Q119</f>
        <v>2000</v>
      </c>
      <c r="AB110" s="3">
        <f>+Z110-AA110</f>
        <v>18000</v>
      </c>
    </row>
    <row r="111" spans="1:28">
      <c r="B111" s="82"/>
      <c r="C111" s="1"/>
      <c r="D111" s="1"/>
      <c r="O111" s="127" t="s">
        <v>54</v>
      </c>
      <c r="P111" s="77">
        <v>5000</v>
      </c>
      <c r="Q111" s="77"/>
      <c r="R111" s="77">
        <v>500</v>
      </c>
      <c r="S111" s="77">
        <v>500</v>
      </c>
      <c r="T111" s="77">
        <v>500</v>
      </c>
      <c r="U111" s="77">
        <v>500</v>
      </c>
      <c r="V111" s="77">
        <v>500</v>
      </c>
      <c r="W111" s="77">
        <v>500</v>
      </c>
      <c r="X111" s="77">
        <v>500</v>
      </c>
      <c r="Y111" s="77"/>
      <c r="Z111" s="3">
        <f>+P111+Z110</f>
        <v>25000</v>
      </c>
      <c r="AA111" s="3">
        <f>+R119</f>
        <v>4500</v>
      </c>
      <c r="AB111" s="3">
        <f t="shared" ref="AB111:AB117" si="82">+Z111-AA111</f>
        <v>20500</v>
      </c>
    </row>
    <row r="112" spans="1:28" ht="15.75" thickBot="1">
      <c r="B112" s="86" t="s">
        <v>48</v>
      </c>
      <c r="C112" s="253">
        <f t="shared" ref="C112:J112" si="83">+C88-C91-C93-C94-C98-C101-C102-C103-C107-C108-C109-C95-C104-C92</f>
        <v>-16792.510733333333</v>
      </c>
      <c r="D112" s="253">
        <f t="shared" si="83"/>
        <v>3650.9333333333398</v>
      </c>
      <c r="E112" s="253">
        <f t="shared" si="83"/>
        <v>16319.429000000004</v>
      </c>
      <c r="F112" s="253">
        <f t="shared" si="83"/>
        <v>17433.640449999977</v>
      </c>
      <c r="G112" s="253">
        <f t="shared" si="83"/>
        <v>30147.016408624968</v>
      </c>
      <c r="H112" s="253">
        <f t="shared" si="83"/>
        <v>29659.380093056236</v>
      </c>
      <c r="I112" s="253">
        <f t="shared" si="83"/>
        <v>38275.511931038272</v>
      </c>
      <c r="J112" s="253">
        <f t="shared" si="83"/>
        <v>32429.532602380568</v>
      </c>
      <c r="O112" s="127" t="s">
        <v>55</v>
      </c>
      <c r="P112" s="77">
        <v>5000</v>
      </c>
      <c r="Q112" s="77"/>
      <c r="R112" s="77"/>
      <c r="S112" s="77">
        <v>500</v>
      </c>
      <c r="T112" s="77">
        <v>500</v>
      </c>
      <c r="U112" s="77">
        <v>500</v>
      </c>
      <c r="V112" s="77">
        <v>500</v>
      </c>
      <c r="W112" s="77">
        <v>500</v>
      </c>
      <c r="X112" s="77">
        <v>500</v>
      </c>
      <c r="Y112" s="77"/>
      <c r="Z112" s="3">
        <f t="shared" ref="Z112:Z117" si="84">+P112+Z111</f>
        <v>30000</v>
      </c>
      <c r="AA112" s="3">
        <f>+S119</f>
        <v>7500</v>
      </c>
      <c r="AB112" s="3">
        <f t="shared" si="82"/>
        <v>22500</v>
      </c>
    </row>
    <row r="113" spans="2:28" ht="15.75" thickTop="1">
      <c r="B113" s="81"/>
      <c r="K113" s="110"/>
      <c r="O113" s="127" t="s">
        <v>56</v>
      </c>
      <c r="P113" s="77">
        <v>5000</v>
      </c>
      <c r="Q113" s="77"/>
      <c r="R113" s="77"/>
      <c r="S113" s="77"/>
      <c r="T113" s="77">
        <v>500</v>
      </c>
      <c r="U113" s="77">
        <v>500</v>
      </c>
      <c r="V113" s="77">
        <v>500</v>
      </c>
      <c r="W113" s="77">
        <v>500</v>
      </c>
      <c r="X113" s="77">
        <v>500</v>
      </c>
      <c r="Y113" s="77"/>
      <c r="Z113" s="3">
        <f t="shared" si="84"/>
        <v>35000</v>
      </c>
      <c r="AA113" s="3">
        <f>+T119</f>
        <v>11000</v>
      </c>
      <c r="AB113" s="3">
        <f t="shared" si="82"/>
        <v>24000</v>
      </c>
    </row>
    <row r="114" spans="2:28">
      <c r="B114" s="78" t="s">
        <v>31</v>
      </c>
      <c r="C114" s="1">
        <f>+PRESTAMO!E21</f>
        <v>5027.75</v>
      </c>
      <c r="D114" s="1">
        <f>+PRESTAMO!F21</f>
        <v>9261.405179463356</v>
      </c>
      <c r="E114" s="1">
        <f>+PRESTAMO!G21</f>
        <v>7579.2741211205839</v>
      </c>
      <c r="F114" s="1">
        <f>+PRESTAMO!H21</f>
        <v>5698.1469585758623</v>
      </c>
      <c r="G114" s="1">
        <f>+PRESTAMO!I21</f>
        <v>3594.4824527020987</v>
      </c>
      <c r="H114" s="1">
        <f>+PRESTAMO!J21</f>
        <v>1241.9544357834695</v>
      </c>
      <c r="O114" s="127" t="s">
        <v>57</v>
      </c>
      <c r="P114" s="77">
        <v>5000</v>
      </c>
      <c r="Q114" s="77"/>
      <c r="R114" s="77"/>
      <c r="S114" s="77"/>
      <c r="T114" s="77"/>
      <c r="U114" s="77">
        <v>500</v>
      </c>
      <c r="V114" s="77">
        <v>500</v>
      </c>
      <c r="W114" s="77">
        <v>500</v>
      </c>
      <c r="X114" s="77">
        <v>500</v>
      </c>
      <c r="Y114" s="77"/>
      <c r="Z114" s="3">
        <f t="shared" si="84"/>
        <v>40000</v>
      </c>
      <c r="AA114" s="3">
        <f>+U119</f>
        <v>15000</v>
      </c>
      <c r="AB114" s="3">
        <f t="shared" si="82"/>
        <v>25000</v>
      </c>
    </row>
    <row r="115" spans="2:28">
      <c r="O115" s="127" t="s">
        <v>58</v>
      </c>
      <c r="P115" s="77">
        <v>5000</v>
      </c>
      <c r="Q115" s="77"/>
      <c r="R115" s="77"/>
      <c r="S115" s="77"/>
      <c r="T115" s="77"/>
      <c r="U115" s="77"/>
      <c r="V115" s="77">
        <v>500</v>
      </c>
      <c r="W115" s="77">
        <v>500</v>
      </c>
      <c r="X115" s="77">
        <v>500</v>
      </c>
      <c r="Y115" s="77"/>
      <c r="Z115" s="3">
        <f t="shared" si="84"/>
        <v>45000</v>
      </c>
      <c r="AA115" s="3">
        <f>+V119</f>
        <v>19500</v>
      </c>
      <c r="AB115" s="3">
        <f t="shared" si="82"/>
        <v>25500</v>
      </c>
    </row>
    <row r="116" spans="2:28">
      <c r="B116" s="81" t="s">
        <v>49</v>
      </c>
      <c r="C116" s="103">
        <f>+C112-C114</f>
        <v>-21820.260733333333</v>
      </c>
      <c r="D116" s="103">
        <f t="shared" ref="D116:J116" si="85">+D112-D114</f>
        <v>-5610.4718461300163</v>
      </c>
      <c r="E116" s="103">
        <f t="shared" si="85"/>
        <v>8740.1548788794207</v>
      </c>
      <c r="F116" s="103">
        <f t="shared" si="85"/>
        <v>11735.493491424115</v>
      </c>
      <c r="G116" s="103">
        <f t="shared" si="85"/>
        <v>26552.533955922871</v>
      </c>
      <c r="H116" s="103">
        <f t="shared" si="85"/>
        <v>28417.425657272765</v>
      </c>
      <c r="I116" s="103">
        <f t="shared" si="85"/>
        <v>38275.511931038272</v>
      </c>
      <c r="J116" s="103">
        <f t="shared" si="85"/>
        <v>32429.532602380568</v>
      </c>
      <c r="O116" s="127" t="s">
        <v>59</v>
      </c>
      <c r="P116" s="77">
        <v>5000</v>
      </c>
      <c r="Q116" s="77"/>
      <c r="R116" s="77"/>
      <c r="S116" s="77"/>
      <c r="T116" s="77"/>
      <c r="U116" s="77"/>
      <c r="V116" s="77"/>
      <c r="W116" s="77">
        <v>500</v>
      </c>
      <c r="X116" s="77">
        <v>500</v>
      </c>
      <c r="Y116" s="77"/>
      <c r="Z116" s="3">
        <f t="shared" si="84"/>
        <v>50000</v>
      </c>
      <c r="AA116" s="3">
        <f>+W119</f>
        <v>24500</v>
      </c>
      <c r="AB116" s="3">
        <f t="shared" si="82"/>
        <v>25500</v>
      </c>
    </row>
    <row r="117" spans="2:28" ht="15.75" thickBot="1">
      <c r="B117" s="78" t="s">
        <v>50</v>
      </c>
      <c r="C117" s="77"/>
      <c r="D117" s="77"/>
      <c r="E117" s="77">
        <f t="shared" ref="E117:J117" si="86">+E116*0.15</f>
        <v>1311.0232318319131</v>
      </c>
      <c r="F117" s="77">
        <f t="shared" si="86"/>
        <v>1760.3240237136172</v>
      </c>
      <c r="G117" s="77">
        <f t="shared" si="86"/>
        <v>3982.8800933884304</v>
      </c>
      <c r="H117" s="77">
        <f t="shared" si="86"/>
        <v>4262.6138485909141</v>
      </c>
      <c r="I117" s="77">
        <f t="shared" si="86"/>
        <v>5741.3267896557409</v>
      </c>
      <c r="J117" s="77">
        <f t="shared" si="86"/>
        <v>4864.4298903570852</v>
      </c>
      <c r="O117" s="89" t="s">
        <v>60</v>
      </c>
      <c r="P117" s="88">
        <v>5000</v>
      </c>
      <c r="Q117" s="88"/>
      <c r="R117" s="88"/>
      <c r="S117" s="88"/>
      <c r="T117" s="88"/>
      <c r="U117" s="88"/>
      <c r="V117" s="88"/>
      <c r="W117" s="88"/>
      <c r="X117" s="88">
        <v>500</v>
      </c>
      <c r="Y117" s="77"/>
      <c r="Z117" s="3">
        <f t="shared" si="84"/>
        <v>55000</v>
      </c>
      <c r="AA117" s="3">
        <f>+X119</f>
        <v>30000</v>
      </c>
      <c r="AB117" s="3">
        <f t="shared" si="82"/>
        <v>25000</v>
      </c>
    </row>
    <row r="118" spans="2:28" ht="16.5" thickTop="1" thickBot="1">
      <c r="B118" s="85" t="s">
        <v>51</v>
      </c>
      <c r="C118" s="88"/>
      <c r="D118" s="88"/>
      <c r="E118" s="88">
        <f t="shared" ref="E118:J118" si="87">+(E116-E117)*0.22</f>
        <v>1634.4089623504517</v>
      </c>
      <c r="F118" s="88">
        <f t="shared" si="87"/>
        <v>2194.5372828963095</v>
      </c>
      <c r="G118" s="88">
        <f t="shared" si="87"/>
        <v>4965.3238497575767</v>
      </c>
      <c r="H118" s="88">
        <f t="shared" si="87"/>
        <v>5314.0585979100069</v>
      </c>
      <c r="I118" s="88">
        <f t="shared" si="87"/>
        <v>7157.5207311041568</v>
      </c>
      <c r="J118" s="88">
        <f t="shared" si="87"/>
        <v>6064.3225966451664</v>
      </c>
      <c r="O118" s="312" t="s">
        <v>61</v>
      </c>
      <c r="P118" s="312"/>
      <c r="Q118" s="77">
        <f t="shared" ref="Q118:X118" si="88">+SUM(Q110:Q117)</f>
        <v>2000</v>
      </c>
      <c r="R118" s="77">
        <f t="shared" si="88"/>
        <v>2500</v>
      </c>
      <c r="S118" s="77">
        <f t="shared" si="88"/>
        <v>3000</v>
      </c>
      <c r="T118" s="77">
        <f t="shared" si="88"/>
        <v>3500</v>
      </c>
      <c r="U118" s="77">
        <f t="shared" si="88"/>
        <v>4000</v>
      </c>
      <c r="V118" s="77">
        <f t="shared" si="88"/>
        <v>4500</v>
      </c>
      <c r="W118" s="77">
        <f t="shared" si="88"/>
        <v>5000</v>
      </c>
      <c r="X118" s="77">
        <f t="shared" si="88"/>
        <v>5500</v>
      </c>
      <c r="Y118" s="77"/>
      <c r="Z118" s="77"/>
    </row>
    <row r="119" spans="2:28" ht="16.5" thickTop="1" thickBot="1">
      <c r="B119" s="86" t="s">
        <v>52</v>
      </c>
      <c r="C119" s="104">
        <f>+C116-C117-C118</f>
        <v>-21820.260733333333</v>
      </c>
      <c r="D119" s="104">
        <f>+D116-D117-D118</f>
        <v>-5610.4718461300163</v>
      </c>
      <c r="E119" s="104">
        <f t="shared" ref="E119:J119" si="89">+E116-E117-E118</f>
        <v>5794.7226846970561</v>
      </c>
      <c r="F119" s="104">
        <f t="shared" si="89"/>
        <v>7780.632184814187</v>
      </c>
      <c r="G119" s="104">
        <f t="shared" si="89"/>
        <v>17604.330012776863</v>
      </c>
      <c r="H119" s="104">
        <f t="shared" si="89"/>
        <v>18840.753210771843</v>
      </c>
      <c r="I119" s="104">
        <f t="shared" si="89"/>
        <v>25376.664410278376</v>
      </c>
      <c r="J119" s="104">
        <f t="shared" si="89"/>
        <v>21500.780115378315</v>
      </c>
      <c r="O119" s="313" t="s">
        <v>159</v>
      </c>
      <c r="P119" s="313"/>
      <c r="Q119" s="3">
        <f>+Q118</f>
        <v>2000</v>
      </c>
      <c r="R119" s="3">
        <f t="shared" ref="R119:X119" si="90">+R118+Q119</f>
        <v>4500</v>
      </c>
      <c r="S119" s="3">
        <f t="shared" si="90"/>
        <v>7500</v>
      </c>
      <c r="T119" s="3">
        <f t="shared" si="90"/>
        <v>11000</v>
      </c>
      <c r="U119" s="3">
        <f t="shared" si="90"/>
        <v>15000</v>
      </c>
      <c r="V119" s="3">
        <f t="shared" si="90"/>
        <v>19500</v>
      </c>
      <c r="W119" s="3">
        <f t="shared" si="90"/>
        <v>24500</v>
      </c>
      <c r="X119" s="3">
        <f t="shared" si="90"/>
        <v>30000</v>
      </c>
      <c r="Y119" s="3"/>
      <c r="Z119" s="35"/>
    </row>
    <row r="120" spans="2:28" ht="15.75" thickTop="1">
      <c r="B120" s="38" t="s">
        <v>66</v>
      </c>
      <c r="K120" s="3"/>
    </row>
    <row r="122" spans="2:28">
      <c r="O122" s="133" t="s">
        <v>273</v>
      </c>
      <c r="Q122" s="124" t="s">
        <v>53</v>
      </c>
      <c r="R122" s="124" t="s">
        <v>54</v>
      </c>
      <c r="S122" s="124" t="s">
        <v>55</v>
      </c>
      <c r="T122" s="124" t="s">
        <v>56</v>
      </c>
      <c r="U122" s="124" t="s">
        <v>57</v>
      </c>
      <c r="V122" s="124" t="s">
        <v>58</v>
      </c>
      <c r="W122" s="124" t="s">
        <v>59</v>
      </c>
      <c r="X122" s="124" t="s">
        <v>60</v>
      </c>
    </row>
    <row r="123" spans="2:28">
      <c r="O123" s="113" t="s">
        <v>53</v>
      </c>
      <c r="P123" s="116">
        <f>+P94+P110</f>
        <v>24000</v>
      </c>
      <c r="Q123" s="116">
        <f t="shared" ref="Q123:X123" si="91">+Q94+Q110</f>
        <v>3333.333333333333</v>
      </c>
      <c r="R123" s="116">
        <f t="shared" si="91"/>
        <v>3333.333333333333</v>
      </c>
      <c r="S123" s="116">
        <f t="shared" si="91"/>
        <v>3333.333333333333</v>
      </c>
      <c r="T123" s="116">
        <f t="shared" si="91"/>
        <v>2000</v>
      </c>
      <c r="U123" s="116">
        <f t="shared" si="91"/>
        <v>2000</v>
      </c>
      <c r="V123" s="116">
        <f t="shared" si="91"/>
        <v>2000</v>
      </c>
      <c r="W123" s="116">
        <f t="shared" si="91"/>
        <v>2000</v>
      </c>
      <c r="X123" s="116">
        <f t="shared" si="91"/>
        <v>2000</v>
      </c>
    </row>
    <row r="124" spans="2:28">
      <c r="O124" s="127" t="s">
        <v>54</v>
      </c>
      <c r="P124" s="77">
        <f>+P95+P111</f>
        <v>6000</v>
      </c>
      <c r="Q124" s="77">
        <f t="shared" ref="Q124:X124" si="92">+Q95+Q111</f>
        <v>0</v>
      </c>
      <c r="R124" s="77">
        <f t="shared" si="92"/>
        <v>833.33333333333326</v>
      </c>
      <c r="S124" s="77">
        <f t="shared" si="92"/>
        <v>833.33333333333326</v>
      </c>
      <c r="T124" s="77">
        <f t="shared" si="92"/>
        <v>833.33333333333326</v>
      </c>
      <c r="U124" s="77">
        <f t="shared" si="92"/>
        <v>500</v>
      </c>
      <c r="V124" s="77">
        <f t="shared" si="92"/>
        <v>500</v>
      </c>
      <c r="W124" s="77">
        <f t="shared" si="92"/>
        <v>500</v>
      </c>
      <c r="X124" s="77">
        <f t="shared" si="92"/>
        <v>500</v>
      </c>
      <c r="AB124" s="1"/>
    </row>
    <row r="125" spans="2:28" ht="21">
      <c r="B125" s="309" t="s">
        <v>292</v>
      </c>
      <c r="C125" s="309"/>
      <c r="D125" s="309"/>
      <c r="E125" s="309"/>
      <c r="F125" s="309"/>
      <c r="G125" s="309"/>
      <c r="H125" s="309"/>
      <c r="I125" s="309"/>
      <c r="J125" s="309"/>
      <c r="O125" s="127" t="s">
        <v>55</v>
      </c>
      <c r="P125" s="77">
        <f t="shared" ref="P125:X130" si="93">+P96+P112</f>
        <v>6000</v>
      </c>
      <c r="Q125" s="77">
        <f t="shared" si="93"/>
        <v>0</v>
      </c>
      <c r="R125" s="77">
        <f t="shared" si="93"/>
        <v>0</v>
      </c>
      <c r="S125" s="77">
        <f t="shared" si="93"/>
        <v>833.33333333333326</v>
      </c>
      <c r="T125" s="77">
        <f t="shared" si="93"/>
        <v>833.33333333333326</v>
      </c>
      <c r="U125" s="77">
        <f t="shared" si="93"/>
        <v>833.33333333333326</v>
      </c>
      <c r="V125" s="77">
        <f t="shared" si="93"/>
        <v>500</v>
      </c>
      <c r="W125" s="77">
        <f t="shared" si="93"/>
        <v>500</v>
      </c>
      <c r="X125" s="77">
        <f t="shared" si="93"/>
        <v>500</v>
      </c>
      <c r="AB125" s="1"/>
    </row>
    <row r="126" spans="2:28" ht="21">
      <c r="C126" s="123">
        <v>2014</v>
      </c>
      <c r="D126" s="123">
        <v>2015</v>
      </c>
      <c r="E126" s="123">
        <v>2016</v>
      </c>
      <c r="F126" s="123">
        <v>2017</v>
      </c>
      <c r="G126" s="123">
        <v>2018</v>
      </c>
      <c r="H126" s="123">
        <v>2019</v>
      </c>
      <c r="I126" s="123">
        <v>2020</v>
      </c>
      <c r="J126" s="123">
        <v>2021</v>
      </c>
      <c r="K126" s="257"/>
      <c r="O126" s="127" t="s">
        <v>56</v>
      </c>
      <c r="P126" s="77">
        <f t="shared" si="93"/>
        <v>6000</v>
      </c>
      <c r="Q126" s="77">
        <f t="shared" si="93"/>
        <v>0</v>
      </c>
      <c r="R126" s="77">
        <f t="shared" si="93"/>
        <v>0</v>
      </c>
      <c r="S126" s="77">
        <f t="shared" si="93"/>
        <v>0</v>
      </c>
      <c r="T126" s="77">
        <f t="shared" si="93"/>
        <v>833.33333333333326</v>
      </c>
      <c r="U126" s="77">
        <f t="shared" si="93"/>
        <v>833.33333333333326</v>
      </c>
      <c r="V126" s="77">
        <f t="shared" si="93"/>
        <v>833.33333333333326</v>
      </c>
      <c r="W126" s="77">
        <f t="shared" si="93"/>
        <v>500</v>
      </c>
      <c r="X126" s="77">
        <f t="shared" si="93"/>
        <v>500</v>
      </c>
      <c r="AB126" s="1"/>
    </row>
    <row r="127" spans="2:28">
      <c r="B127" s="78"/>
      <c r="C127" s="123" t="s">
        <v>53</v>
      </c>
      <c r="D127" s="123" t="s">
        <v>54</v>
      </c>
      <c r="E127" s="123" t="s">
        <v>55</v>
      </c>
      <c r="F127" s="123" t="s">
        <v>56</v>
      </c>
      <c r="G127" s="123" t="s">
        <v>57</v>
      </c>
      <c r="H127" s="123" t="s">
        <v>58</v>
      </c>
      <c r="I127" s="123" t="s">
        <v>59</v>
      </c>
      <c r="J127" s="123" t="s">
        <v>60</v>
      </c>
      <c r="O127" s="127" t="s">
        <v>57</v>
      </c>
      <c r="P127" s="77">
        <f t="shared" si="93"/>
        <v>6000</v>
      </c>
      <c r="Q127" s="77">
        <f t="shared" si="93"/>
        <v>0</v>
      </c>
      <c r="R127" s="77">
        <f t="shared" si="93"/>
        <v>0</v>
      </c>
      <c r="S127" s="77">
        <f t="shared" si="93"/>
        <v>0</v>
      </c>
      <c r="T127" s="77">
        <f t="shared" si="93"/>
        <v>0</v>
      </c>
      <c r="U127" s="77">
        <f t="shared" si="93"/>
        <v>833.33333333333326</v>
      </c>
      <c r="V127" s="77">
        <f t="shared" si="93"/>
        <v>833.33333333333326</v>
      </c>
      <c r="W127" s="77">
        <f t="shared" si="93"/>
        <v>833.33333333333326</v>
      </c>
      <c r="X127" s="77">
        <f t="shared" si="93"/>
        <v>500</v>
      </c>
      <c r="Z127" s="1"/>
      <c r="AA127" s="1"/>
    </row>
    <row r="128" spans="2:28" ht="15.75" thickBot="1">
      <c r="B128" s="80" t="s">
        <v>69</v>
      </c>
      <c r="C128" s="73"/>
      <c r="D128" s="73">
        <f t="shared" ref="D128:J128" si="94">+C166</f>
        <v>48400.528685235477</v>
      </c>
      <c r="E128" s="73">
        <f t="shared" si="94"/>
        <v>28737.526055706432</v>
      </c>
      <c r="F128" s="73">
        <f t="shared" si="94"/>
        <v>20576.352426177385</v>
      </c>
      <c r="G128" s="73">
        <f t="shared" si="94"/>
        <v>10083.958052465925</v>
      </c>
      <c r="H128" s="73">
        <f t="shared" si="94"/>
        <v>11795.51052495194</v>
      </c>
      <c r="I128" s="73">
        <f t="shared" si="94"/>
        <v>20266.385360097629</v>
      </c>
      <c r="J128" s="73">
        <f t="shared" si="94"/>
        <v>48965.224844635057</v>
      </c>
      <c r="O128" s="127" t="s">
        <v>58</v>
      </c>
      <c r="P128" s="77">
        <f t="shared" si="93"/>
        <v>6000</v>
      </c>
      <c r="Q128" s="77">
        <f t="shared" si="93"/>
        <v>0</v>
      </c>
      <c r="R128" s="77">
        <f t="shared" si="93"/>
        <v>0</v>
      </c>
      <c r="S128" s="77">
        <f t="shared" si="93"/>
        <v>0</v>
      </c>
      <c r="T128" s="77">
        <f t="shared" si="93"/>
        <v>0</v>
      </c>
      <c r="U128" s="77">
        <f t="shared" si="93"/>
        <v>0</v>
      </c>
      <c r="V128" s="77">
        <f t="shared" si="93"/>
        <v>833.33333333333326</v>
      </c>
      <c r="W128" s="77">
        <f t="shared" si="93"/>
        <v>833.33333333333326</v>
      </c>
      <c r="X128" s="77">
        <f t="shared" si="93"/>
        <v>833.33333333333326</v>
      </c>
      <c r="Z128" s="1"/>
      <c r="AA128" s="1"/>
    </row>
    <row r="129" spans="2:30" ht="15.75" thickTop="1">
      <c r="B129" s="84" t="s">
        <v>70</v>
      </c>
      <c r="O129" s="127" t="s">
        <v>59</v>
      </c>
      <c r="P129" s="77">
        <f t="shared" si="93"/>
        <v>6000</v>
      </c>
      <c r="Q129" s="77">
        <f t="shared" si="93"/>
        <v>0</v>
      </c>
      <c r="R129" s="77">
        <f t="shared" si="93"/>
        <v>0</v>
      </c>
      <c r="S129" s="77">
        <f t="shared" si="93"/>
        <v>0</v>
      </c>
      <c r="T129" s="77">
        <f t="shared" si="93"/>
        <v>0</v>
      </c>
      <c r="U129" s="77">
        <f t="shared" si="93"/>
        <v>0</v>
      </c>
      <c r="V129" s="77">
        <f t="shared" si="93"/>
        <v>0</v>
      </c>
      <c r="W129" s="77">
        <f t="shared" si="93"/>
        <v>833.33333333333326</v>
      </c>
      <c r="X129" s="77">
        <f t="shared" si="93"/>
        <v>833.33333333333326</v>
      </c>
      <c r="Z129" s="1"/>
      <c r="AA129" s="1"/>
    </row>
    <row r="130" spans="2:30" ht="15.75" thickBot="1">
      <c r="B130" s="250" t="s">
        <v>71</v>
      </c>
      <c r="C130" s="41">
        <f t="shared" ref="C130:J130" si="95">+C69</f>
        <v>129500</v>
      </c>
      <c r="D130" s="41">
        <f t="shared" si="95"/>
        <v>158025</v>
      </c>
      <c r="E130" s="41">
        <f t="shared" si="95"/>
        <v>181361.25</v>
      </c>
      <c r="F130" s="41">
        <f t="shared" si="95"/>
        <v>190429.3125</v>
      </c>
      <c r="G130" s="41">
        <f t="shared" si="95"/>
        <v>216967.86562500001</v>
      </c>
      <c r="H130" s="41">
        <f t="shared" si="95"/>
        <v>227816.25890625003</v>
      </c>
      <c r="I130" s="41">
        <f t="shared" si="95"/>
        <v>257968.41082031257</v>
      </c>
      <c r="J130" s="41">
        <f t="shared" si="95"/>
        <v>270866.83136132819</v>
      </c>
      <c r="O130" s="89" t="s">
        <v>60</v>
      </c>
      <c r="P130" s="77">
        <f t="shared" si="93"/>
        <v>6000</v>
      </c>
      <c r="Q130" s="77">
        <f t="shared" si="93"/>
        <v>0</v>
      </c>
      <c r="R130" s="77">
        <f t="shared" si="93"/>
        <v>0</v>
      </c>
      <c r="S130" s="77">
        <f t="shared" si="93"/>
        <v>0</v>
      </c>
      <c r="T130" s="77">
        <f t="shared" si="93"/>
        <v>0</v>
      </c>
      <c r="U130" s="77">
        <f t="shared" si="93"/>
        <v>0</v>
      </c>
      <c r="V130" s="77">
        <f t="shared" si="93"/>
        <v>0</v>
      </c>
      <c r="W130" s="77">
        <f t="shared" si="93"/>
        <v>0</v>
      </c>
      <c r="X130" s="77">
        <f t="shared" si="93"/>
        <v>833.33333333333326</v>
      </c>
      <c r="Z130" s="1"/>
      <c r="AA130" s="77"/>
    </row>
    <row r="131" spans="2:30" ht="15.75" thickTop="1">
      <c r="B131" s="76" t="s">
        <v>72</v>
      </c>
      <c r="C131" s="1">
        <f>+C130*0.12</f>
        <v>15540</v>
      </c>
      <c r="D131" s="1">
        <f t="shared" ref="D131:J131" si="96">+D130*0.12</f>
        <v>18963</v>
      </c>
      <c r="E131" s="1">
        <f t="shared" si="96"/>
        <v>21763.35</v>
      </c>
      <c r="F131" s="1">
        <f t="shared" si="96"/>
        <v>22851.517499999998</v>
      </c>
      <c r="G131" s="1">
        <f t="shared" si="96"/>
        <v>26036.143874999998</v>
      </c>
      <c r="H131" s="1">
        <f t="shared" si="96"/>
        <v>27337.951068750004</v>
      </c>
      <c r="I131" s="1">
        <f t="shared" si="96"/>
        <v>30956.209298437505</v>
      </c>
      <c r="J131" s="1">
        <f t="shared" si="96"/>
        <v>32504.019763359382</v>
      </c>
      <c r="P131" s="136">
        <f>SUM(P123:P130)</f>
        <v>66000</v>
      </c>
      <c r="Q131" s="136">
        <f t="shared" ref="Q131:X131" si="97">SUM(Q123:Q130)</f>
        <v>3333.333333333333</v>
      </c>
      <c r="R131" s="136">
        <f t="shared" si="97"/>
        <v>4166.6666666666661</v>
      </c>
      <c r="S131" s="136">
        <f t="shared" si="97"/>
        <v>4999.9999999999991</v>
      </c>
      <c r="T131" s="136">
        <f t="shared" si="97"/>
        <v>4499.9999999999991</v>
      </c>
      <c r="U131" s="136">
        <f t="shared" si="97"/>
        <v>4999.9999999999991</v>
      </c>
      <c r="V131" s="136">
        <f t="shared" si="97"/>
        <v>5499.9999999999991</v>
      </c>
      <c r="W131" s="136">
        <f t="shared" si="97"/>
        <v>5999.9999999999991</v>
      </c>
      <c r="X131" s="136">
        <f t="shared" si="97"/>
        <v>6499.9999999999991</v>
      </c>
      <c r="Z131" s="1"/>
      <c r="AA131" s="77"/>
    </row>
    <row r="132" spans="2:30">
      <c r="B132" s="76" t="s">
        <v>73</v>
      </c>
      <c r="C132" s="1">
        <f>+PRESTAMO!F4</f>
        <v>85000</v>
      </c>
      <c r="Y132" s="3"/>
      <c r="Z132" s="1"/>
      <c r="AA132" s="77"/>
    </row>
    <row r="133" spans="2:30">
      <c r="B133" s="76" t="s">
        <v>74</v>
      </c>
      <c r="C133" s="1">
        <v>15000</v>
      </c>
      <c r="AA133" s="35"/>
    </row>
    <row r="134" spans="2:30">
      <c r="B134" s="76"/>
    </row>
    <row r="135" spans="2:30" ht="15.75" thickBot="1">
      <c r="B135" s="44" t="s">
        <v>75</v>
      </c>
      <c r="C135" s="40">
        <f t="shared" ref="C135:J135" si="98">+SUM(C130:C134)</f>
        <v>245040</v>
      </c>
      <c r="D135" s="40">
        <f t="shared" si="98"/>
        <v>176988</v>
      </c>
      <c r="E135" s="40">
        <f t="shared" si="98"/>
        <v>203124.6</v>
      </c>
      <c r="F135" s="40">
        <f t="shared" si="98"/>
        <v>213280.83</v>
      </c>
      <c r="G135" s="40">
        <f t="shared" si="98"/>
        <v>243004.00950000001</v>
      </c>
      <c r="H135" s="40">
        <f t="shared" si="98"/>
        <v>255154.20997500003</v>
      </c>
      <c r="I135" s="40">
        <f t="shared" si="98"/>
        <v>288924.62011875008</v>
      </c>
      <c r="J135" s="40">
        <f t="shared" si="98"/>
        <v>303370.85112468759</v>
      </c>
    </row>
    <row r="136" spans="2:30" ht="15.75" thickTop="1">
      <c r="B136" s="76"/>
    </row>
    <row r="137" spans="2:30">
      <c r="B137" s="80" t="s">
        <v>76</v>
      </c>
    </row>
    <row r="138" spans="2:30">
      <c r="B138" s="80" t="s">
        <v>15</v>
      </c>
    </row>
    <row r="139" spans="2:30">
      <c r="B139" s="42" t="s">
        <v>77</v>
      </c>
      <c r="C139" s="106">
        <v>65689.17</v>
      </c>
      <c r="D139" s="106">
        <f t="shared" ref="D139:J139" si="99">+D70</f>
        <v>68972.399999999994</v>
      </c>
      <c r="E139" s="106">
        <f t="shared" si="99"/>
        <v>76042.070999999996</v>
      </c>
      <c r="F139" s="106">
        <f t="shared" si="99"/>
        <v>79844.174550000011</v>
      </c>
      <c r="G139" s="106">
        <f t="shared" si="99"/>
        <v>88028.202441375033</v>
      </c>
      <c r="H139" s="106">
        <f t="shared" si="99"/>
        <v>92429.612563443778</v>
      </c>
      <c r="I139" s="106">
        <f t="shared" si="99"/>
        <v>101903.64785119676</v>
      </c>
      <c r="J139" s="106">
        <f t="shared" si="99"/>
        <v>106998.83024375662</v>
      </c>
    </row>
    <row r="140" spans="2:30">
      <c r="B140" s="76" t="s">
        <v>78</v>
      </c>
      <c r="C140" s="1">
        <f>+P110</f>
        <v>20000</v>
      </c>
      <c r="D140" s="1">
        <f>+P111</f>
        <v>5000</v>
      </c>
      <c r="E140" s="1">
        <f>+P112</f>
        <v>5000</v>
      </c>
      <c r="F140" s="1">
        <f>+P113</f>
        <v>5000</v>
      </c>
      <c r="G140" s="1">
        <f>+P114</f>
        <v>5000</v>
      </c>
      <c r="H140" s="1">
        <f>+P115</f>
        <v>5000</v>
      </c>
      <c r="I140" s="1">
        <f>+P116</f>
        <v>5000</v>
      </c>
      <c r="J140" s="1">
        <f>+P117</f>
        <v>5000</v>
      </c>
      <c r="L140" s="3"/>
    </row>
    <row r="141" spans="2:30">
      <c r="B141" s="76" t="s">
        <v>79</v>
      </c>
      <c r="C141" s="3">
        <f>+P94</f>
        <v>4000</v>
      </c>
      <c r="D141" s="3">
        <f>+P95</f>
        <v>1000</v>
      </c>
      <c r="E141" s="3">
        <f>+P97</f>
        <v>1000</v>
      </c>
      <c r="F141" s="3">
        <f>+P97</f>
        <v>1000</v>
      </c>
      <c r="G141" s="3">
        <f>+P98</f>
        <v>1000</v>
      </c>
      <c r="H141" s="1">
        <f>+P99</f>
        <v>1000</v>
      </c>
      <c r="I141" s="1">
        <f>+P100</f>
        <v>1000</v>
      </c>
      <c r="J141" s="1">
        <f>+P101</f>
        <v>1000</v>
      </c>
      <c r="AA141" s="1"/>
    </row>
    <row r="142" spans="2:30">
      <c r="B142" s="80" t="s">
        <v>80</v>
      </c>
      <c r="AA142" s="1"/>
      <c r="AB142" s="1"/>
    </row>
    <row r="143" spans="2:30">
      <c r="B143" s="76" t="s">
        <v>36</v>
      </c>
      <c r="C143" s="3">
        <f t="shared" ref="C143:J146" si="100">+C91</f>
        <v>13200</v>
      </c>
      <c r="D143" s="3">
        <f t="shared" si="100"/>
        <v>13860</v>
      </c>
      <c r="E143" s="3">
        <f t="shared" si="100"/>
        <v>14553</v>
      </c>
      <c r="F143" s="3">
        <f t="shared" si="100"/>
        <v>15280.650000000001</v>
      </c>
      <c r="G143" s="3">
        <f t="shared" si="100"/>
        <v>16044.682500000003</v>
      </c>
      <c r="H143" s="3">
        <f t="shared" si="100"/>
        <v>16846.916625000002</v>
      </c>
      <c r="I143" s="3">
        <f t="shared" si="100"/>
        <v>17689.262456250002</v>
      </c>
      <c r="J143" s="3">
        <f t="shared" si="100"/>
        <v>18573.725579062502</v>
      </c>
      <c r="AA143" s="1"/>
      <c r="AB143" s="1"/>
      <c r="AC143" s="1"/>
    </row>
    <row r="144" spans="2:30">
      <c r="B144" s="76" t="s">
        <v>153</v>
      </c>
      <c r="C144" s="3">
        <f t="shared" si="100"/>
        <v>7200</v>
      </c>
      <c r="D144" s="3">
        <f t="shared" si="100"/>
        <v>7560</v>
      </c>
      <c r="E144" s="3">
        <f t="shared" si="100"/>
        <v>7938</v>
      </c>
      <c r="F144" s="3">
        <f t="shared" si="100"/>
        <v>8334.9</v>
      </c>
      <c r="G144" s="3">
        <f t="shared" si="100"/>
        <v>8751.6450000000004</v>
      </c>
      <c r="H144" s="3">
        <f t="shared" si="100"/>
        <v>9189.2272500000017</v>
      </c>
      <c r="I144" s="3">
        <f t="shared" si="100"/>
        <v>9648.6886125000019</v>
      </c>
      <c r="J144" s="3">
        <f t="shared" si="100"/>
        <v>10131.123043125002</v>
      </c>
      <c r="AA144" s="1"/>
      <c r="AB144" s="1"/>
      <c r="AC144" s="1"/>
      <c r="AD144" s="1"/>
    </row>
    <row r="145" spans="2:31">
      <c r="B145" s="76" t="s">
        <v>37</v>
      </c>
      <c r="C145" s="3">
        <f t="shared" si="100"/>
        <v>3600</v>
      </c>
      <c r="D145" s="3">
        <f t="shared" si="100"/>
        <v>3780</v>
      </c>
      <c r="E145" s="3">
        <f t="shared" si="100"/>
        <v>3969</v>
      </c>
      <c r="F145" s="3">
        <f t="shared" si="100"/>
        <v>4167.45</v>
      </c>
      <c r="G145" s="3">
        <f t="shared" si="100"/>
        <v>4375.8225000000002</v>
      </c>
      <c r="H145" s="3">
        <f t="shared" si="100"/>
        <v>4594.6136250000009</v>
      </c>
      <c r="I145" s="3">
        <f t="shared" si="100"/>
        <v>4824.344306250001</v>
      </c>
      <c r="J145" s="3">
        <f t="shared" si="100"/>
        <v>5065.5615215625012</v>
      </c>
      <c r="AA145" s="1"/>
      <c r="AB145" s="1"/>
      <c r="AC145" s="1"/>
      <c r="AD145" s="1"/>
      <c r="AE145" s="1"/>
    </row>
    <row r="146" spans="2:31">
      <c r="B146" s="76" t="s">
        <v>38</v>
      </c>
      <c r="C146" s="3">
        <f t="shared" si="100"/>
        <v>16800</v>
      </c>
      <c r="D146" s="3">
        <f t="shared" si="100"/>
        <v>17640</v>
      </c>
      <c r="E146" s="3">
        <f t="shared" si="100"/>
        <v>18522</v>
      </c>
      <c r="F146" s="3">
        <f t="shared" si="100"/>
        <v>19448.100000000002</v>
      </c>
      <c r="G146" s="3">
        <f t="shared" si="100"/>
        <v>20420.505000000005</v>
      </c>
      <c r="H146" s="3">
        <f t="shared" si="100"/>
        <v>21441.530250000007</v>
      </c>
      <c r="I146" s="3">
        <f t="shared" si="100"/>
        <v>22513.606762500007</v>
      </c>
      <c r="J146" s="3">
        <f t="shared" si="100"/>
        <v>23639.28710062501</v>
      </c>
    </row>
    <row r="147" spans="2:31">
      <c r="B147" s="76" t="s">
        <v>152</v>
      </c>
      <c r="C147" s="3">
        <f>1600*2</f>
        <v>3200</v>
      </c>
      <c r="D147" s="3"/>
      <c r="E147" s="3"/>
      <c r="F147" s="3"/>
      <c r="G147" s="3"/>
      <c r="H147" s="3"/>
      <c r="I147" s="3"/>
      <c r="J147" s="3"/>
    </row>
    <row r="148" spans="2:31">
      <c r="B148" s="76" t="s">
        <v>68</v>
      </c>
      <c r="C148" s="1">
        <v>4000</v>
      </c>
      <c r="D148" s="3"/>
      <c r="E148" s="3"/>
      <c r="F148" s="3"/>
      <c r="G148" s="3"/>
      <c r="H148" s="3"/>
      <c r="I148" s="3"/>
      <c r="J148" s="3"/>
    </row>
    <row r="149" spans="2:31">
      <c r="B149" s="80" t="s">
        <v>81</v>
      </c>
    </row>
    <row r="150" spans="2:31">
      <c r="B150" s="76" t="s">
        <v>39</v>
      </c>
      <c r="C150" s="3">
        <f t="shared" ref="C150:J150" si="101">+C98</f>
        <v>16800</v>
      </c>
      <c r="D150" s="3">
        <f t="shared" si="101"/>
        <v>17640</v>
      </c>
      <c r="E150" s="3">
        <f t="shared" si="101"/>
        <v>18522</v>
      </c>
      <c r="F150" s="3">
        <f t="shared" si="101"/>
        <v>19448.100000000002</v>
      </c>
      <c r="G150" s="3">
        <f t="shared" si="101"/>
        <v>20420.505000000005</v>
      </c>
      <c r="H150" s="3">
        <f t="shared" si="101"/>
        <v>21441.530250000007</v>
      </c>
      <c r="I150" s="3">
        <f t="shared" si="101"/>
        <v>22513.606762500007</v>
      </c>
      <c r="J150" s="3">
        <f t="shared" si="101"/>
        <v>23639.28710062501</v>
      </c>
    </row>
    <row r="151" spans="2:31">
      <c r="B151" s="76" t="s">
        <v>41</v>
      </c>
      <c r="C151" s="3">
        <f t="shared" ref="C151:J154" si="102">+C101</f>
        <v>6170</v>
      </c>
      <c r="D151" s="3">
        <f t="shared" si="102"/>
        <v>9620</v>
      </c>
      <c r="E151" s="3">
        <f t="shared" si="102"/>
        <v>10904</v>
      </c>
      <c r="F151" s="3">
        <f t="shared" si="102"/>
        <v>11900.96</v>
      </c>
      <c r="G151" s="3">
        <f t="shared" si="102"/>
        <v>13204.582399999999</v>
      </c>
      <c r="H151" s="3">
        <f t="shared" si="102"/>
        <v>15609.798655999999</v>
      </c>
      <c r="I151" s="3">
        <f t="shared" si="102"/>
        <v>22940.910064639997</v>
      </c>
      <c r="J151" s="3">
        <f t="shared" si="102"/>
        <v>31647.710493081595</v>
      </c>
    </row>
    <row r="152" spans="2:31">
      <c r="B152" s="76" t="s">
        <v>42</v>
      </c>
      <c r="C152" s="3">
        <f t="shared" si="102"/>
        <v>3600</v>
      </c>
      <c r="D152" s="3">
        <f t="shared" si="102"/>
        <v>3780</v>
      </c>
      <c r="E152" s="3">
        <f t="shared" si="102"/>
        <v>3969</v>
      </c>
      <c r="F152" s="3">
        <f t="shared" si="102"/>
        <v>4167.45</v>
      </c>
      <c r="G152" s="3">
        <f t="shared" si="102"/>
        <v>4375.8225000000002</v>
      </c>
      <c r="H152" s="3">
        <f t="shared" si="102"/>
        <v>4594.6136250000009</v>
      </c>
      <c r="I152" s="3">
        <f t="shared" si="102"/>
        <v>4824.344306250001</v>
      </c>
      <c r="J152" s="3">
        <f t="shared" si="102"/>
        <v>5065.5615215625012</v>
      </c>
    </row>
    <row r="153" spans="2:31">
      <c r="B153" s="76" t="s">
        <v>43</v>
      </c>
      <c r="C153" s="3">
        <f t="shared" si="102"/>
        <v>2100</v>
      </c>
      <c r="D153" s="3">
        <f t="shared" si="102"/>
        <v>2205</v>
      </c>
      <c r="E153" s="3">
        <f t="shared" si="102"/>
        <v>2315.25</v>
      </c>
      <c r="F153" s="3">
        <f t="shared" si="102"/>
        <v>2431.0125000000003</v>
      </c>
      <c r="G153" s="3">
        <f t="shared" si="102"/>
        <v>2552.5631250000006</v>
      </c>
      <c r="H153" s="3">
        <f t="shared" si="102"/>
        <v>2680.1912812500009</v>
      </c>
      <c r="I153" s="3">
        <f t="shared" si="102"/>
        <v>2814.2008453125009</v>
      </c>
      <c r="J153" s="3">
        <f t="shared" si="102"/>
        <v>2954.9108875781262</v>
      </c>
    </row>
    <row r="154" spans="2:31">
      <c r="B154" s="76" t="s">
        <v>151</v>
      </c>
      <c r="C154" s="3">
        <f t="shared" si="102"/>
        <v>3000</v>
      </c>
      <c r="D154" s="3">
        <f t="shared" si="102"/>
        <v>3150</v>
      </c>
      <c r="E154" s="3">
        <f t="shared" si="102"/>
        <v>3307.5</v>
      </c>
      <c r="F154" s="3">
        <f t="shared" si="102"/>
        <v>3472.875</v>
      </c>
      <c r="G154" s="3">
        <f t="shared" si="102"/>
        <v>3646.5187500000002</v>
      </c>
      <c r="H154" s="3">
        <f t="shared" si="102"/>
        <v>3828.8446875000004</v>
      </c>
      <c r="I154" s="3">
        <f t="shared" si="102"/>
        <v>4020.2869218750006</v>
      </c>
      <c r="J154" s="3">
        <f t="shared" si="102"/>
        <v>4221.3012679687508</v>
      </c>
      <c r="K154" s="3"/>
      <c r="L154" s="74"/>
      <c r="M154" s="91"/>
      <c r="N154" s="91"/>
      <c r="O154" s="91"/>
      <c r="P154" s="91"/>
      <c r="Q154" s="91"/>
      <c r="R154" s="91"/>
      <c r="S154" s="91"/>
      <c r="T154" s="91"/>
    </row>
    <row r="155" spans="2:31">
      <c r="B155" s="80" t="s">
        <v>82</v>
      </c>
      <c r="F155" s="3"/>
      <c r="G155" s="3"/>
      <c r="H155" s="3"/>
      <c r="I155" s="3"/>
      <c r="J155" s="3"/>
      <c r="L155" s="74"/>
      <c r="M155" s="91"/>
    </row>
    <row r="156" spans="2:31">
      <c r="B156" s="43" t="s">
        <v>83</v>
      </c>
      <c r="C156" s="1">
        <f>+R9</f>
        <v>7882.7012880000002</v>
      </c>
      <c r="D156" s="1">
        <f>+D139*0.12</f>
        <v>8276.6879999999983</v>
      </c>
      <c r="E156" s="1">
        <f t="shared" ref="E156:J156" si="103">+E139*0.12</f>
        <v>9125.0485199999985</v>
      </c>
      <c r="F156" s="1">
        <f t="shared" si="103"/>
        <v>9581.3009460000012</v>
      </c>
      <c r="G156" s="1">
        <f t="shared" si="103"/>
        <v>10563.384292965004</v>
      </c>
      <c r="H156" s="1">
        <f t="shared" si="103"/>
        <v>11091.553507613253</v>
      </c>
      <c r="I156" s="1">
        <f t="shared" si="103"/>
        <v>12228.437742143611</v>
      </c>
      <c r="J156" s="1">
        <f t="shared" si="103"/>
        <v>12839.859629250794</v>
      </c>
    </row>
    <row r="157" spans="2:31">
      <c r="B157" s="76" t="s">
        <v>84</v>
      </c>
      <c r="C157" s="3">
        <f t="shared" ref="C157:J157" si="104">+C131-C156</f>
        <v>7657.2987119999998</v>
      </c>
      <c r="D157" s="3">
        <f t="shared" si="104"/>
        <v>10686.312000000002</v>
      </c>
      <c r="E157" s="3">
        <f t="shared" si="104"/>
        <v>12638.30148</v>
      </c>
      <c r="F157" s="3">
        <f t="shared" si="104"/>
        <v>13270.216553999997</v>
      </c>
      <c r="G157" s="3">
        <f t="shared" si="104"/>
        <v>15472.759582034994</v>
      </c>
      <c r="H157" s="3">
        <f t="shared" si="104"/>
        <v>16246.397561136751</v>
      </c>
      <c r="I157" s="3">
        <f t="shared" si="104"/>
        <v>18727.771556293894</v>
      </c>
      <c r="J157" s="3">
        <f t="shared" si="104"/>
        <v>19664.160134108588</v>
      </c>
    </row>
    <row r="158" spans="2:31">
      <c r="B158" s="76" t="s">
        <v>85</v>
      </c>
      <c r="D158" s="3">
        <f t="shared" ref="D158:J159" si="105">+C117</f>
        <v>0</v>
      </c>
      <c r="E158" s="3">
        <f t="shared" si="105"/>
        <v>0</v>
      </c>
      <c r="F158" s="3">
        <f t="shared" si="105"/>
        <v>1311.0232318319131</v>
      </c>
      <c r="G158" s="3">
        <f t="shared" si="105"/>
        <v>1760.3240237136172</v>
      </c>
      <c r="H158" s="3">
        <f t="shared" si="105"/>
        <v>3982.8800933884304</v>
      </c>
      <c r="I158" s="3">
        <f t="shared" si="105"/>
        <v>4262.6138485909141</v>
      </c>
      <c r="J158" s="3">
        <f t="shared" si="105"/>
        <v>5741.3267896557409</v>
      </c>
    </row>
    <row r="159" spans="2:31">
      <c r="B159" s="76" t="s">
        <v>86</v>
      </c>
      <c r="D159" s="3">
        <f t="shared" si="105"/>
        <v>0</v>
      </c>
      <c r="E159" s="3">
        <f t="shared" si="105"/>
        <v>0</v>
      </c>
      <c r="F159" s="3">
        <f t="shared" si="105"/>
        <v>1634.4089623504517</v>
      </c>
      <c r="G159" s="3">
        <f t="shared" si="105"/>
        <v>2194.5372828963095</v>
      </c>
      <c r="H159" s="3">
        <f t="shared" si="105"/>
        <v>4965.3238497575767</v>
      </c>
      <c r="I159" s="3">
        <f t="shared" si="105"/>
        <v>5314.0585979100069</v>
      </c>
      <c r="J159" s="3">
        <f t="shared" si="105"/>
        <v>7157.5207311041568</v>
      </c>
      <c r="L159" s="314" t="s">
        <v>141</v>
      </c>
      <c r="M159" s="314"/>
      <c r="N159" s="112"/>
      <c r="O159" s="112"/>
      <c r="P159" s="112"/>
      <c r="Q159" s="112"/>
      <c r="R159" s="112"/>
      <c r="S159" s="112"/>
      <c r="T159" s="112"/>
      <c r="U159" s="112"/>
      <c r="V159" s="112"/>
      <c r="W159" s="112"/>
      <c r="X159" s="112"/>
      <c r="Y159" s="112"/>
    </row>
    <row r="160" spans="2:31">
      <c r="B160" s="76"/>
      <c r="L160" s="214" t="s">
        <v>290</v>
      </c>
      <c r="M160" s="259">
        <f>+B168</f>
        <v>-100000</v>
      </c>
      <c r="N160" s="112"/>
      <c r="O160" s="112"/>
      <c r="P160" s="112"/>
      <c r="Q160" s="112"/>
      <c r="R160" s="112"/>
      <c r="S160" s="112"/>
      <c r="T160" s="112"/>
      <c r="U160" s="112"/>
      <c r="V160" s="112"/>
      <c r="W160" s="112"/>
      <c r="X160" s="112"/>
      <c r="Y160" s="112"/>
    </row>
    <row r="161" spans="1:27">
      <c r="B161" s="76" t="s">
        <v>87</v>
      </c>
      <c r="C161" s="1">
        <f>+PRESTAMO!E20</f>
        <v>6712.5513147645288</v>
      </c>
      <c r="D161" s="1">
        <f>+PRESTAMO!F20</f>
        <v>14219.197450065702</v>
      </c>
      <c r="E161" s="1">
        <f>+PRESTAMO!G20</f>
        <v>15901.328508408475</v>
      </c>
      <c r="F161" s="1">
        <f>+PRESTAMO!H20</f>
        <v>17782.455670953197</v>
      </c>
      <c r="G161" s="1">
        <f>+PRESTAMO!I20</f>
        <v>19886.12017682696</v>
      </c>
      <c r="H161" s="1">
        <f>+PRESTAMO!J20</f>
        <v>10498.346878981059</v>
      </c>
      <c r="L161" s="132" t="s">
        <v>53</v>
      </c>
      <c r="M161" s="283">
        <f>+C168</f>
        <v>48400.528685235477</v>
      </c>
      <c r="N161" s="112"/>
      <c r="O161" s="112"/>
      <c r="P161" s="112"/>
      <c r="Q161" s="112"/>
      <c r="R161" s="112"/>
      <c r="S161" s="112"/>
      <c r="T161" s="112"/>
      <c r="U161" s="112"/>
      <c r="V161" s="112"/>
      <c r="W161" s="112"/>
      <c r="X161" s="112"/>
      <c r="Y161" s="112"/>
    </row>
    <row r="162" spans="1:27">
      <c r="B162" s="76" t="s">
        <v>31</v>
      </c>
      <c r="C162" s="1">
        <f>+PRESTAMO!E21</f>
        <v>5027.75</v>
      </c>
      <c r="D162" s="1">
        <f>+PRESTAMO!F21</f>
        <v>9261.405179463356</v>
      </c>
      <c r="E162" s="1">
        <f>+PRESTAMO!G21</f>
        <v>7579.2741211205839</v>
      </c>
      <c r="F162" s="1">
        <f>+PRESTAMO!H21</f>
        <v>5698.1469585758623</v>
      </c>
      <c r="G162" s="1">
        <f>+PRESTAMO!I21</f>
        <v>3594.4824527020987</v>
      </c>
      <c r="H162" s="1">
        <f>+PRESTAMO!J21</f>
        <v>1241.9544357834695</v>
      </c>
      <c r="L162" s="210" t="s">
        <v>54</v>
      </c>
      <c r="M162" s="55">
        <f>+D168</f>
        <v>28737.526055706432</v>
      </c>
    </row>
    <row r="163" spans="1:27">
      <c r="B163" s="42"/>
      <c r="L163" s="210" t="s">
        <v>55</v>
      </c>
      <c r="M163" s="55">
        <f>+E168</f>
        <v>20576.352426177385</v>
      </c>
    </row>
    <row r="164" spans="1:27" ht="15.75" thickBot="1">
      <c r="B164" s="44" t="s">
        <v>88</v>
      </c>
      <c r="C164" s="39">
        <f>+SUM(C139:C163)</f>
        <v>196639.47131476452</v>
      </c>
      <c r="D164" s="39">
        <f t="shared" ref="D164:J164" si="106">+SUM(D139:D163)</f>
        <v>196651.00262952904</v>
      </c>
      <c r="E164" s="39">
        <f t="shared" si="106"/>
        <v>211285.77362952905</v>
      </c>
      <c r="F164" s="39">
        <f t="shared" si="106"/>
        <v>223773.22437371145</v>
      </c>
      <c r="G164" s="39">
        <f t="shared" si="106"/>
        <v>241292.457027514</v>
      </c>
      <c r="H164" s="39">
        <f t="shared" si="106"/>
        <v>246683.33513985435</v>
      </c>
      <c r="I164" s="39">
        <f t="shared" si="106"/>
        <v>260225.78063421266</v>
      </c>
      <c r="J164" s="39">
        <f t="shared" si="106"/>
        <v>283340.16604306689</v>
      </c>
      <c r="L164" s="210" t="s">
        <v>56</v>
      </c>
      <c r="M164" s="55">
        <f>+F168</f>
        <v>10083.958052465925</v>
      </c>
    </row>
    <row r="165" spans="1:27" ht="15.75" thickTop="1">
      <c r="B165" s="76"/>
      <c r="L165" s="210" t="s">
        <v>57</v>
      </c>
      <c r="M165" s="55">
        <f>+G168</f>
        <v>11795.51052495194</v>
      </c>
    </row>
    <row r="166" spans="1:27" ht="15.75" thickBot="1">
      <c r="B166" s="45" t="s">
        <v>27</v>
      </c>
      <c r="C166" s="104">
        <f t="shared" ref="C166:J166" si="107">+C135-C164+C128</f>
        <v>48400.528685235477</v>
      </c>
      <c r="D166" s="104">
        <f t="shared" si="107"/>
        <v>28737.526055706432</v>
      </c>
      <c r="E166" s="104">
        <f t="shared" si="107"/>
        <v>20576.352426177385</v>
      </c>
      <c r="F166" s="104">
        <f t="shared" si="107"/>
        <v>10083.958052465925</v>
      </c>
      <c r="G166" s="104">
        <f t="shared" si="107"/>
        <v>11795.51052495194</v>
      </c>
      <c r="H166" s="104">
        <f t="shared" si="107"/>
        <v>20266.385360097629</v>
      </c>
      <c r="I166" s="104">
        <f t="shared" si="107"/>
        <v>48965.224844635057</v>
      </c>
      <c r="J166" s="104">
        <f t="shared" si="107"/>
        <v>68995.909926255757</v>
      </c>
      <c r="L166" s="210" t="s">
        <v>58</v>
      </c>
      <c r="M166" s="55">
        <f>+H168</f>
        <v>20266.385360097629</v>
      </c>
    </row>
    <row r="167" spans="1:27" ht="15.75" thickTop="1">
      <c r="L167" s="210" t="s">
        <v>59</v>
      </c>
      <c r="M167" s="55">
        <f>+I168</f>
        <v>48965.224844635057</v>
      </c>
    </row>
    <row r="168" spans="1:27" ht="15.75" thickBot="1">
      <c r="B168" s="41">
        <v>-100000</v>
      </c>
      <c r="C168" s="41">
        <f t="shared" ref="C168:J168" si="108">+C166</f>
        <v>48400.528685235477</v>
      </c>
      <c r="D168" s="41">
        <f t="shared" si="108"/>
        <v>28737.526055706432</v>
      </c>
      <c r="E168" s="41">
        <f t="shared" si="108"/>
        <v>20576.352426177385</v>
      </c>
      <c r="F168" s="41">
        <f t="shared" si="108"/>
        <v>10083.958052465925</v>
      </c>
      <c r="G168" s="41">
        <f t="shared" si="108"/>
        <v>11795.51052495194</v>
      </c>
      <c r="H168" s="41">
        <f t="shared" si="108"/>
        <v>20266.385360097629</v>
      </c>
      <c r="I168" s="41">
        <f t="shared" si="108"/>
        <v>48965.224844635057</v>
      </c>
      <c r="J168" s="41">
        <f t="shared" si="108"/>
        <v>68995.909926255757</v>
      </c>
      <c r="L168" s="212" t="s">
        <v>60</v>
      </c>
      <c r="M168" s="211">
        <f>+J168</f>
        <v>68995.909926255757</v>
      </c>
    </row>
    <row r="169" spans="1:27" ht="15.75" thickTop="1">
      <c r="A169" s="123" t="s">
        <v>141</v>
      </c>
      <c r="B169" s="123"/>
      <c r="C169" s="41"/>
      <c r="D169" s="41"/>
      <c r="E169" s="41"/>
      <c r="F169" s="41"/>
      <c r="G169" s="41"/>
      <c r="H169" s="41"/>
      <c r="I169" s="41"/>
      <c r="J169" s="41"/>
      <c r="L169" s="213"/>
      <c r="M169" s="213"/>
    </row>
    <row r="170" spans="1:27" ht="15.75">
      <c r="B170" s="123"/>
      <c r="C170" s="41"/>
      <c r="D170" s="41"/>
      <c r="E170" s="41"/>
      <c r="F170" s="41"/>
      <c r="G170" s="41"/>
      <c r="H170" s="41"/>
      <c r="I170" s="41"/>
      <c r="J170" s="41">
        <v>0</v>
      </c>
      <c r="K170" s="41"/>
      <c r="L170" s="284" t="s">
        <v>142</v>
      </c>
      <c r="M170" s="285">
        <f>+B173</f>
        <v>0.26059231598859012</v>
      </c>
    </row>
    <row r="171" spans="1:27" ht="15.75">
      <c r="K171" s="41"/>
      <c r="L171" s="284" t="s">
        <v>143</v>
      </c>
      <c r="M171" s="286">
        <f>+C173</f>
        <v>33652.899272181392</v>
      </c>
    </row>
    <row r="172" spans="1:27">
      <c r="B172" s="247" t="s">
        <v>142</v>
      </c>
      <c r="C172" s="247" t="s">
        <v>143</v>
      </c>
      <c r="M172" s="112"/>
      <c r="N172" s="112"/>
      <c r="AA172" s="112"/>
    </row>
    <row r="173" spans="1:27" ht="15.75" thickBot="1">
      <c r="B173" s="248">
        <f>+IRR(B168:J168)</f>
        <v>0.26059231598859012</v>
      </c>
      <c r="C173" s="249">
        <f>+NPV(0.15,B168:J168)</f>
        <v>33652.899272181392</v>
      </c>
      <c r="M173" s="112"/>
      <c r="N173" s="112"/>
      <c r="AA173" s="112"/>
    </row>
    <row r="174" spans="1:27" ht="15.75" thickTop="1">
      <c r="M174" s="112"/>
      <c r="N174" s="112"/>
      <c r="AA174" s="112"/>
    </row>
    <row r="175" spans="1:27">
      <c r="B175" s="127"/>
    </row>
    <row r="176" spans="1:27">
      <c r="B176" s="78"/>
    </row>
    <row r="177" spans="1:43" ht="20.25">
      <c r="B177" s="316" t="s">
        <v>144</v>
      </c>
      <c r="C177" s="316"/>
      <c r="D177" s="316"/>
      <c r="E177" s="316"/>
      <c r="F177" s="316"/>
      <c r="G177" s="316"/>
      <c r="H177" s="316"/>
      <c r="I177" s="316"/>
      <c r="J177" s="316"/>
    </row>
    <row r="178" spans="1:43" ht="20.25">
      <c r="B178" s="105"/>
      <c r="C178" s="124">
        <v>2014</v>
      </c>
      <c r="D178" s="124">
        <v>2015</v>
      </c>
      <c r="E178" s="124">
        <v>2016</v>
      </c>
      <c r="F178" s="124">
        <v>2017</v>
      </c>
      <c r="G178" s="124">
        <v>2018</v>
      </c>
      <c r="H178" s="124">
        <v>2019</v>
      </c>
      <c r="I178" s="124">
        <v>2020</v>
      </c>
      <c r="J178" s="124">
        <v>2021</v>
      </c>
      <c r="K178" s="242"/>
    </row>
    <row r="179" spans="1:43" ht="20.25">
      <c r="B179" s="105"/>
      <c r="C179" s="124" t="s">
        <v>53</v>
      </c>
      <c r="D179" s="124" t="s">
        <v>54</v>
      </c>
      <c r="E179" s="124" t="s">
        <v>55</v>
      </c>
      <c r="F179" s="124" t="s">
        <v>56</v>
      </c>
      <c r="G179" s="124" t="s">
        <v>57</v>
      </c>
      <c r="H179" s="124" t="s">
        <v>58</v>
      </c>
      <c r="I179" s="124" t="s">
        <v>59</v>
      </c>
      <c r="J179" s="124" t="s">
        <v>60</v>
      </c>
    </row>
    <row r="180" spans="1:43">
      <c r="B180" s="243" t="s">
        <v>127</v>
      </c>
      <c r="C180" s="244"/>
      <c r="D180" s="244"/>
      <c r="E180" s="244"/>
      <c r="F180" s="244"/>
      <c r="G180" s="244"/>
      <c r="H180" s="244"/>
      <c r="I180" s="244"/>
      <c r="J180" s="244"/>
    </row>
    <row r="181" spans="1:43">
      <c r="B181" s="215" t="s">
        <v>128</v>
      </c>
      <c r="C181" s="223"/>
      <c r="D181" s="223"/>
      <c r="E181" s="223"/>
      <c r="F181" s="223"/>
      <c r="G181" s="223"/>
      <c r="H181" s="223"/>
      <c r="I181" s="223"/>
      <c r="J181" s="223"/>
    </row>
    <row r="182" spans="1:43">
      <c r="B182" s="217" t="s">
        <v>207</v>
      </c>
      <c r="C182" s="224">
        <f>+MAYORIZACIÓN!E28</f>
        <v>51287.300505568797</v>
      </c>
      <c r="D182" s="224">
        <f>+MAYORIZACIÓN!E36</f>
        <v>29526.130655706394</v>
      </c>
      <c r="E182" s="224">
        <f>+MAYORIZACIÓN!E44</f>
        <v>18628.742881177328</v>
      </c>
      <c r="F182" s="224">
        <f>+MAYORIZACIÓN!E53</f>
        <v>4679.2684002159012</v>
      </c>
      <c r="G182" s="224">
        <f>+MAYORIZACIÓN!E62</f>
        <v>3065.4639809087903</v>
      </c>
      <c r="H182" s="224">
        <f>+MAYORIZACIÓN!E71</f>
        <v>7399.7951088523187</v>
      </c>
      <c r="I182" s="224">
        <f>+MAYORIZACIÓN!E80</f>
        <v>32092.215456937844</v>
      </c>
      <c r="J182" s="224">
        <f>+MAYORIZACIÓN!E89</f>
        <v>47203.981909798676</v>
      </c>
      <c r="K182" s="112"/>
    </row>
    <row r="183" spans="1:43">
      <c r="B183" s="216" t="s">
        <v>224</v>
      </c>
      <c r="C183" s="224">
        <f>+C86*0.02</f>
        <v>2590</v>
      </c>
      <c r="D183" s="224">
        <f t="shared" ref="D183:J183" si="109">+(D86*0.02)+C183</f>
        <v>5750.5</v>
      </c>
      <c r="E183" s="225">
        <f t="shared" si="109"/>
        <v>9377.7250000000004</v>
      </c>
      <c r="F183" s="225">
        <f t="shared" si="109"/>
        <v>13186.311250000001</v>
      </c>
      <c r="G183" s="225">
        <f t="shared" si="109"/>
        <v>17525.668562500003</v>
      </c>
      <c r="H183" s="225">
        <f t="shared" si="109"/>
        <v>22081.993740625003</v>
      </c>
      <c r="I183" s="225">
        <f t="shared" si="109"/>
        <v>27241.361957031255</v>
      </c>
      <c r="J183" s="225">
        <f t="shared" si="109"/>
        <v>32658.698584257818</v>
      </c>
      <c r="K183" s="112"/>
    </row>
    <row r="184" spans="1:43">
      <c r="B184" s="217" t="s">
        <v>129</v>
      </c>
      <c r="C184" s="226">
        <f>+C71</f>
        <v>10791.666666666666</v>
      </c>
      <c r="D184" s="226">
        <f t="shared" ref="D184:J184" si="110">+D71</f>
        <v>13168.75</v>
      </c>
      <c r="E184" s="227">
        <f t="shared" si="110"/>
        <v>15113.4375</v>
      </c>
      <c r="F184" s="227">
        <f t="shared" si="110"/>
        <v>15869.109375</v>
      </c>
      <c r="G184" s="227">
        <f t="shared" si="110"/>
        <v>18080.655468749999</v>
      </c>
      <c r="H184" s="227">
        <f t="shared" si="110"/>
        <v>18984.688242187505</v>
      </c>
      <c r="I184" s="227">
        <f t="shared" si="110"/>
        <v>21497.367568359379</v>
      </c>
      <c r="J184" s="227">
        <f t="shared" si="110"/>
        <v>22572.235946777349</v>
      </c>
    </row>
    <row r="185" spans="1:43">
      <c r="B185" s="215" t="s">
        <v>130</v>
      </c>
      <c r="C185" s="223"/>
      <c r="D185" s="223"/>
      <c r="E185" s="216"/>
      <c r="F185" s="216"/>
      <c r="G185" s="216"/>
      <c r="H185" s="216"/>
      <c r="I185" s="216"/>
      <c r="J185" s="216"/>
    </row>
    <row r="186" spans="1:43">
      <c r="B186" s="217" t="s">
        <v>62</v>
      </c>
      <c r="C186" s="226">
        <f>+C140</f>
        <v>20000</v>
      </c>
      <c r="D186" s="226">
        <f t="shared" ref="D186:J186" si="111">+C186+D140</f>
        <v>25000</v>
      </c>
      <c r="E186" s="227">
        <f t="shared" si="111"/>
        <v>30000</v>
      </c>
      <c r="F186" s="227">
        <f t="shared" si="111"/>
        <v>35000</v>
      </c>
      <c r="G186" s="227">
        <f t="shared" si="111"/>
        <v>40000</v>
      </c>
      <c r="H186" s="227">
        <f t="shared" si="111"/>
        <v>45000</v>
      </c>
      <c r="I186" s="227">
        <f t="shared" si="111"/>
        <v>50000</v>
      </c>
      <c r="J186" s="227">
        <f t="shared" si="111"/>
        <v>55000</v>
      </c>
      <c r="K186" s="112"/>
      <c r="AA186" s="112"/>
      <c r="AB186" s="112"/>
      <c r="AC186" s="112"/>
      <c r="AD186" s="112"/>
      <c r="AE186" s="112"/>
      <c r="AF186" s="112"/>
      <c r="AG186" s="112"/>
      <c r="AH186" s="112"/>
      <c r="AI186" s="112"/>
      <c r="AJ186" s="112"/>
      <c r="AK186" s="112"/>
      <c r="AL186" s="112"/>
      <c r="AM186" s="112"/>
      <c r="AN186" s="112"/>
      <c r="AO186" s="112"/>
      <c r="AP186" s="112"/>
      <c r="AQ186" s="112"/>
    </row>
    <row r="187" spans="1:43">
      <c r="B187" s="217" t="s">
        <v>131</v>
      </c>
      <c r="C187" s="226">
        <f>+Z94</f>
        <v>4000</v>
      </c>
      <c r="D187" s="226">
        <f>+Z95</f>
        <v>5000</v>
      </c>
      <c r="E187" s="226">
        <f>+Z96</f>
        <v>6000</v>
      </c>
      <c r="F187" s="226">
        <f>+Z97</f>
        <v>7000</v>
      </c>
      <c r="G187" s="226">
        <f>+Z98</f>
        <v>8000</v>
      </c>
      <c r="H187" s="226">
        <f>+Z99</f>
        <v>9000</v>
      </c>
      <c r="I187" s="226">
        <f>+Z100</f>
        <v>10000</v>
      </c>
      <c r="J187" s="226">
        <f>+Z101</f>
        <v>11000</v>
      </c>
      <c r="K187" s="112"/>
      <c r="AA187" s="112"/>
      <c r="AB187" s="112"/>
      <c r="AC187" s="112"/>
      <c r="AD187" s="112"/>
      <c r="AE187" s="112"/>
      <c r="AF187" s="112"/>
      <c r="AG187" s="112"/>
      <c r="AH187" s="112"/>
      <c r="AI187" s="112"/>
      <c r="AJ187" s="112"/>
      <c r="AK187" s="112"/>
      <c r="AL187" s="112"/>
      <c r="AM187" s="112"/>
      <c r="AN187" s="112"/>
      <c r="AO187" s="112"/>
      <c r="AP187" s="112"/>
      <c r="AQ187" s="112"/>
    </row>
    <row r="188" spans="1:43" s="111" customFormat="1">
      <c r="A188" s="126"/>
      <c r="B188" s="217" t="s">
        <v>132</v>
      </c>
      <c r="C188" s="226">
        <f t="shared" ref="C188:J188" si="112">+Q119*-1</f>
        <v>-2000</v>
      </c>
      <c r="D188" s="226">
        <f t="shared" si="112"/>
        <v>-4500</v>
      </c>
      <c r="E188" s="226">
        <f t="shared" si="112"/>
        <v>-7500</v>
      </c>
      <c r="F188" s="226">
        <f t="shared" si="112"/>
        <v>-11000</v>
      </c>
      <c r="G188" s="226">
        <f t="shared" si="112"/>
        <v>-15000</v>
      </c>
      <c r="H188" s="226">
        <f t="shared" si="112"/>
        <v>-19500</v>
      </c>
      <c r="I188" s="226">
        <f t="shared" si="112"/>
        <v>-24500</v>
      </c>
      <c r="J188" s="226">
        <f t="shared" si="112"/>
        <v>-30000</v>
      </c>
      <c r="K188" s="112"/>
      <c r="L188" s="126"/>
      <c r="M188" s="126"/>
      <c r="N188" s="126"/>
      <c r="O188" s="126"/>
      <c r="P188" s="126"/>
      <c r="Q188" s="126"/>
      <c r="R188" s="126"/>
      <c r="S188" s="126"/>
      <c r="T188" s="126"/>
      <c r="U188" s="126"/>
      <c r="V188" s="126"/>
      <c r="W188" s="126"/>
      <c r="X188" s="126"/>
      <c r="Y188" s="126"/>
      <c r="Z188" s="126"/>
      <c r="AA188" s="112"/>
      <c r="AB188" s="112"/>
      <c r="AC188" s="112"/>
      <c r="AD188" s="112"/>
      <c r="AE188" s="112"/>
      <c r="AF188" s="112"/>
      <c r="AG188" s="112"/>
      <c r="AH188" s="112"/>
      <c r="AI188" s="112"/>
      <c r="AJ188" s="112"/>
      <c r="AK188" s="112"/>
      <c r="AL188" s="112"/>
      <c r="AM188" s="112"/>
      <c r="AN188" s="112"/>
      <c r="AO188" s="112"/>
      <c r="AP188" s="112"/>
      <c r="AQ188" s="112"/>
    </row>
    <row r="189" spans="1:43">
      <c r="B189" s="217" t="s">
        <v>133</v>
      </c>
      <c r="C189" s="224">
        <f t="shared" ref="C189:J189" si="113">+Q103*-1</f>
        <v>-1333.3333333333333</v>
      </c>
      <c r="D189" s="224">
        <f t="shared" si="113"/>
        <v>-3000</v>
      </c>
      <c r="E189" s="224">
        <f t="shared" si="113"/>
        <v>-5000</v>
      </c>
      <c r="F189" s="224">
        <f t="shared" si="113"/>
        <v>-6000</v>
      </c>
      <c r="G189" s="224">
        <f t="shared" si="113"/>
        <v>-7000</v>
      </c>
      <c r="H189" s="224">
        <f t="shared" si="113"/>
        <v>-8000</v>
      </c>
      <c r="I189" s="224">
        <f t="shared" si="113"/>
        <v>-9000</v>
      </c>
      <c r="J189" s="224">
        <f t="shared" si="113"/>
        <v>-10000</v>
      </c>
    </row>
    <row r="190" spans="1:43">
      <c r="B190" s="218" t="s">
        <v>68</v>
      </c>
      <c r="C190" s="226">
        <v>4000</v>
      </c>
      <c r="D190" s="226">
        <f>+C190</f>
        <v>4000</v>
      </c>
      <c r="E190" s="227">
        <f t="shared" ref="E190:J191" si="114">+D190</f>
        <v>4000</v>
      </c>
      <c r="F190" s="227">
        <f t="shared" si="114"/>
        <v>4000</v>
      </c>
      <c r="G190" s="227">
        <f t="shared" si="114"/>
        <v>4000</v>
      </c>
      <c r="H190" s="227">
        <f t="shared" si="114"/>
        <v>4000</v>
      </c>
      <c r="I190" s="227">
        <f t="shared" si="114"/>
        <v>4000</v>
      </c>
      <c r="J190" s="227">
        <f t="shared" si="114"/>
        <v>4000</v>
      </c>
    </row>
    <row r="191" spans="1:43" ht="15.75" thickBot="1">
      <c r="B191" s="228" t="s">
        <v>140</v>
      </c>
      <c r="C191" s="229">
        <f>+P87*-1</f>
        <v>-2000</v>
      </c>
      <c r="D191" s="229">
        <f>+(Q87*-1)+C191</f>
        <v>-4000</v>
      </c>
      <c r="E191" s="230">
        <f t="shared" si="114"/>
        <v>-4000</v>
      </c>
      <c r="F191" s="230">
        <f t="shared" si="114"/>
        <v>-4000</v>
      </c>
      <c r="G191" s="230">
        <f t="shared" si="114"/>
        <v>-4000</v>
      </c>
      <c r="H191" s="230">
        <f t="shared" si="114"/>
        <v>-4000</v>
      </c>
      <c r="I191" s="230">
        <f t="shared" si="114"/>
        <v>-4000</v>
      </c>
      <c r="J191" s="230">
        <f t="shared" si="114"/>
        <v>-4000</v>
      </c>
    </row>
    <row r="192" spans="1:43" ht="16.5" thickTop="1" thickBot="1">
      <c r="B192" s="241" t="s">
        <v>134</v>
      </c>
      <c r="C192" s="239">
        <f t="shared" ref="C192:J192" si="115">+SUM(C182:C191)</f>
        <v>87335.633838902126</v>
      </c>
      <c r="D192" s="239">
        <f t="shared" si="115"/>
        <v>70945.380655706394</v>
      </c>
      <c r="E192" s="240">
        <f t="shared" si="115"/>
        <v>66619.905381177319</v>
      </c>
      <c r="F192" s="240">
        <f t="shared" si="115"/>
        <v>58734.689025215906</v>
      </c>
      <c r="G192" s="240">
        <f t="shared" si="115"/>
        <v>64671.788012158795</v>
      </c>
      <c r="H192" s="240">
        <f t="shared" si="115"/>
        <v>74966.477091664827</v>
      </c>
      <c r="I192" s="240">
        <f t="shared" si="115"/>
        <v>107330.94498232848</v>
      </c>
      <c r="J192" s="240">
        <f t="shared" si="115"/>
        <v>128434.91644083383</v>
      </c>
    </row>
    <row r="193" spans="2:12" ht="15.75" thickTop="1">
      <c r="B193" s="216"/>
      <c r="C193" s="223"/>
      <c r="D193" s="223"/>
      <c r="E193" s="216"/>
      <c r="F193" s="216"/>
      <c r="G193" s="216"/>
      <c r="H193" s="216"/>
      <c r="I193" s="216"/>
      <c r="J193" s="216"/>
    </row>
    <row r="194" spans="2:12">
      <c r="B194" s="245" t="s">
        <v>135</v>
      </c>
      <c r="C194" s="246"/>
      <c r="D194" s="246"/>
      <c r="E194" s="244"/>
      <c r="F194" s="244"/>
      <c r="G194" s="244"/>
      <c r="H194" s="244"/>
      <c r="I194" s="244"/>
      <c r="J194" s="244"/>
    </row>
    <row r="195" spans="2:12">
      <c r="B195" s="220" t="s">
        <v>266</v>
      </c>
      <c r="C195" s="233"/>
      <c r="D195" s="223"/>
      <c r="E195" s="216"/>
      <c r="F195" s="216"/>
      <c r="G195" s="216"/>
      <c r="H195" s="216"/>
      <c r="I195" s="216"/>
      <c r="J195" s="216"/>
    </row>
    <row r="196" spans="2:12">
      <c r="B196" s="218" t="s">
        <v>136</v>
      </c>
      <c r="C196" s="226">
        <f t="shared" ref="C196:J196" si="116">+C73</f>
        <v>8211.1471750000001</v>
      </c>
      <c r="D196" s="226">
        <f t="shared" si="116"/>
        <v>8621.5499999999993</v>
      </c>
      <c r="E196" s="227">
        <f t="shared" si="116"/>
        <v>9505.2588749999995</v>
      </c>
      <c r="F196" s="227">
        <f t="shared" si="116"/>
        <v>9980.5218187500013</v>
      </c>
      <c r="G196" s="227">
        <f t="shared" si="116"/>
        <v>11003.525305171879</v>
      </c>
      <c r="H196" s="227">
        <f t="shared" si="116"/>
        <v>11553.701570430472</v>
      </c>
      <c r="I196" s="227">
        <f t="shared" si="116"/>
        <v>12737.955981399595</v>
      </c>
      <c r="J196" s="227">
        <f t="shared" si="116"/>
        <v>13374.853780469577</v>
      </c>
    </row>
    <row r="197" spans="2:12">
      <c r="B197" s="218" t="s">
        <v>155</v>
      </c>
      <c r="C197" s="226">
        <f>+C157</f>
        <v>7657.2987119999998</v>
      </c>
      <c r="D197" s="226">
        <f t="shared" ref="D197:J197" si="117">+D157</f>
        <v>10686.312000000002</v>
      </c>
      <c r="E197" s="227">
        <f t="shared" si="117"/>
        <v>12638.30148</v>
      </c>
      <c r="F197" s="227">
        <f t="shared" si="117"/>
        <v>13270.216553999997</v>
      </c>
      <c r="G197" s="227">
        <f t="shared" si="117"/>
        <v>15472.759582034994</v>
      </c>
      <c r="H197" s="227">
        <f t="shared" si="117"/>
        <v>16246.397561136751</v>
      </c>
      <c r="I197" s="227">
        <f t="shared" si="117"/>
        <v>18727.771556293894</v>
      </c>
      <c r="J197" s="227">
        <f t="shared" si="117"/>
        <v>19664.160134108588</v>
      </c>
    </row>
    <row r="198" spans="2:12">
      <c r="B198" s="217" t="s">
        <v>208</v>
      </c>
      <c r="C198" s="226">
        <f t="shared" ref="C198:J199" si="118">+C117</f>
        <v>0</v>
      </c>
      <c r="D198" s="226">
        <f t="shared" si="118"/>
        <v>0</v>
      </c>
      <c r="E198" s="227">
        <f t="shared" si="118"/>
        <v>1311.0232318319131</v>
      </c>
      <c r="F198" s="227">
        <f t="shared" si="118"/>
        <v>1760.3240237136172</v>
      </c>
      <c r="G198" s="227">
        <f t="shared" si="118"/>
        <v>3982.8800933884304</v>
      </c>
      <c r="H198" s="227">
        <f t="shared" si="118"/>
        <v>4262.6138485909141</v>
      </c>
      <c r="I198" s="227">
        <f t="shared" si="118"/>
        <v>5741.3267896557409</v>
      </c>
      <c r="J198" s="227">
        <f t="shared" si="118"/>
        <v>4864.4298903570852</v>
      </c>
    </row>
    <row r="199" spans="2:12">
      <c r="B199" s="217" t="s">
        <v>138</v>
      </c>
      <c r="C199" s="226">
        <f t="shared" si="118"/>
        <v>0</v>
      </c>
      <c r="D199" s="226">
        <f t="shared" si="118"/>
        <v>0</v>
      </c>
      <c r="E199" s="227">
        <f t="shared" si="118"/>
        <v>1634.4089623504517</v>
      </c>
      <c r="F199" s="227">
        <f t="shared" si="118"/>
        <v>2194.5372828963095</v>
      </c>
      <c r="G199" s="227">
        <f t="shared" si="118"/>
        <v>4965.3238497575767</v>
      </c>
      <c r="H199" s="227">
        <f t="shared" si="118"/>
        <v>5314.0585979100069</v>
      </c>
      <c r="I199" s="227">
        <f t="shared" si="118"/>
        <v>7157.5207311041568</v>
      </c>
      <c r="J199" s="227">
        <f t="shared" si="118"/>
        <v>6064.3225966451664</v>
      </c>
    </row>
    <row r="200" spans="2:12">
      <c r="B200" s="215" t="s">
        <v>267</v>
      </c>
      <c r="C200" s="226"/>
      <c r="D200" s="226"/>
      <c r="E200" s="227"/>
      <c r="F200" s="227"/>
      <c r="G200" s="227"/>
      <c r="H200" s="227"/>
      <c r="I200" s="227"/>
      <c r="J200" s="227"/>
    </row>
    <row r="201" spans="2:12" s="147" customFormat="1">
      <c r="B201" s="217" t="s">
        <v>137</v>
      </c>
      <c r="C201" s="226">
        <f>+MAYORIZACIÓN!J7</f>
        <v>78287.448685235475</v>
      </c>
      <c r="D201" s="226">
        <f>+MAYORIZACIÓN!J8</f>
        <v>64068.251235169773</v>
      </c>
      <c r="E201" s="227">
        <f>+MAYORIZACIÓN!J9</f>
        <v>48166.922726761302</v>
      </c>
      <c r="F201" s="227">
        <f>+MAYORIZACIÓN!J10</f>
        <v>30384.467055808105</v>
      </c>
      <c r="G201" s="227">
        <f>+MAYORIZACIÓN!J11</f>
        <v>10498.346878981145</v>
      </c>
      <c r="H201" s="226">
        <v>0</v>
      </c>
      <c r="I201" s="226">
        <v>0</v>
      </c>
      <c r="J201" s="226">
        <v>0</v>
      </c>
    </row>
    <row r="202" spans="2:12">
      <c r="B202" s="215" t="s">
        <v>154</v>
      </c>
      <c r="C202" s="223"/>
      <c r="D202" s="223"/>
      <c r="E202" s="216"/>
      <c r="F202" s="216"/>
      <c r="G202" s="216"/>
      <c r="H202" s="216"/>
      <c r="I202" s="216"/>
      <c r="J202" s="216"/>
    </row>
    <row r="203" spans="2:12">
      <c r="B203" s="217" t="s">
        <v>74</v>
      </c>
      <c r="C203" s="226">
        <f>+C133</f>
        <v>15000</v>
      </c>
      <c r="D203" s="226">
        <f t="shared" ref="D203:J203" si="119">+C203</f>
        <v>15000</v>
      </c>
      <c r="E203" s="227">
        <f t="shared" si="119"/>
        <v>15000</v>
      </c>
      <c r="F203" s="227">
        <f t="shared" si="119"/>
        <v>15000</v>
      </c>
      <c r="G203" s="227">
        <f t="shared" si="119"/>
        <v>15000</v>
      </c>
      <c r="H203" s="227">
        <f t="shared" si="119"/>
        <v>15000</v>
      </c>
      <c r="I203" s="227">
        <f t="shared" si="119"/>
        <v>15000</v>
      </c>
      <c r="J203" s="227">
        <f t="shared" si="119"/>
        <v>15000</v>
      </c>
    </row>
    <row r="204" spans="2:12">
      <c r="B204" s="217" t="s">
        <v>219</v>
      </c>
      <c r="C204" s="226">
        <f>+D121</f>
        <v>0</v>
      </c>
      <c r="D204" s="234">
        <f>+C204+C205</f>
        <v>-21820.260733333333</v>
      </c>
      <c r="E204" s="235">
        <f>+D204+D205</f>
        <v>-27430.732579463351</v>
      </c>
      <c r="F204" s="235">
        <f>+E205+E204</f>
        <v>-21636.009894766295</v>
      </c>
      <c r="G204" s="235">
        <f>+F205+F204</f>
        <v>-13855.377709952108</v>
      </c>
      <c r="H204" s="235">
        <f>+G205+G204</f>
        <v>3748.952302824755</v>
      </c>
      <c r="I204" s="235">
        <f t="shared" ref="I204:J204" si="120">+H205+H204</f>
        <v>22589.7055135966</v>
      </c>
      <c r="J204" s="235">
        <f t="shared" si="120"/>
        <v>47966.369923874976</v>
      </c>
    </row>
    <row r="205" spans="2:12" ht="15.75" thickBot="1">
      <c r="B205" s="222" t="s">
        <v>220</v>
      </c>
      <c r="C205" s="222">
        <f t="shared" ref="C205:J205" si="121">+C119</f>
        <v>-21820.260733333333</v>
      </c>
      <c r="D205" s="222">
        <f t="shared" si="121"/>
        <v>-5610.4718461300163</v>
      </c>
      <c r="E205" s="230">
        <f t="shared" si="121"/>
        <v>5794.7226846970561</v>
      </c>
      <c r="F205" s="230">
        <f t="shared" si="121"/>
        <v>7780.632184814187</v>
      </c>
      <c r="G205" s="230">
        <f t="shared" si="121"/>
        <v>17604.330012776863</v>
      </c>
      <c r="H205" s="230">
        <f t="shared" si="121"/>
        <v>18840.753210771843</v>
      </c>
      <c r="I205" s="230">
        <f t="shared" si="121"/>
        <v>25376.664410278376</v>
      </c>
      <c r="J205" s="230">
        <f t="shared" si="121"/>
        <v>21500.780115378315</v>
      </c>
    </row>
    <row r="206" spans="2:12" ht="16.5" thickTop="1" thickBot="1">
      <c r="B206" s="236" t="s">
        <v>139</v>
      </c>
      <c r="C206" s="231">
        <f t="shared" ref="C206:J206" si="122">+SUM(C196:C205)</f>
        <v>87335.63383890214</v>
      </c>
      <c r="D206" s="231">
        <f t="shared" si="122"/>
        <v>70945.380655706424</v>
      </c>
      <c r="E206" s="232">
        <f t="shared" si="122"/>
        <v>66619.905381177377</v>
      </c>
      <c r="F206" s="232">
        <f t="shared" si="122"/>
        <v>58734.689025215928</v>
      </c>
      <c r="G206" s="232">
        <f t="shared" si="122"/>
        <v>64671.78801215878</v>
      </c>
      <c r="H206" s="232">
        <f t="shared" si="122"/>
        <v>74966.477091664739</v>
      </c>
      <c r="I206" s="232">
        <f t="shared" si="122"/>
        <v>107330.94498232836</v>
      </c>
      <c r="J206" s="232">
        <f t="shared" si="122"/>
        <v>128434.91644083371</v>
      </c>
      <c r="K206" s="3"/>
    </row>
    <row r="207" spans="2:12" ht="15.75" thickTop="1">
      <c r="B207" s="237"/>
      <c r="C207" s="234"/>
      <c r="D207" s="234"/>
      <c r="E207" s="235"/>
      <c r="F207" s="235"/>
      <c r="G207" s="235"/>
      <c r="H207" s="235"/>
      <c r="I207" s="238"/>
      <c r="J207" s="238"/>
      <c r="L207" s="3"/>
    </row>
    <row r="208" spans="2:12">
      <c r="B208" s="237"/>
      <c r="C208" s="237"/>
      <c r="D208" s="237"/>
      <c r="E208" s="237"/>
      <c r="F208" s="237"/>
      <c r="G208" s="237"/>
      <c r="H208" s="237"/>
      <c r="I208" s="237"/>
      <c r="J208" s="237"/>
    </row>
    <row r="209" spans="2:12">
      <c r="E209" s="3"/>
    </row>
    <row r="210" spans="2:12">
      <c r="J210" s="3"/>
    </row>
    <row r="211" spans="2:12">
      <c r="B211" s="112"/>
      <c r="C211" s="112"/>
      <c r="D211" s="112"/>
      <c r="E211" s="112"/>
      <c r="F211" s="112"/>
      <c r="G211" s="112"/>
      <c r="H211" s="112"/>
      <c r="I211" s="112"/>
      <c r="J211" s="112"/>
      <c r="K211" s="3"/>
    </row>
    <row r="212" spans="2:12">
      <c r="B212" s="150"/>
      <c r="C212" s="112"/>
      <c r="D212" s="112"/>
      <c r="E212" s="112"/>
      <c r="F212" s="310"/>
      <c r="G212" s="310"/>
      <c r="H212" s="310"/>
      <c r="I212" s="150"/>
      <c r="J212" s="112"/>
      <c r="K212" s="124"/>
    </row>
    <row r="213" spans="2:12">
      <c r="B213" s="122"/>
      <c r="C213" s="151"/>
      <c r="D213" s="112"/>
      <c r="E213" s="112"/>
      <c r="F213" s="112"/>
      <c r="G213" s="151"/>
      <c r="H213" s="112"/>
      <c r="I213" s="151"/>
      <c r="J213" s="112"/>
      <c r="K213" s="110"/>
    </row>
    <row r="214" spans="2:12">
      <c r="B214" s="78"/>
      <c r="C214" s="151"/>
      <c r="D214" s="112"/>
      <c r="E214" s="112"/>
      <c r="F214" s="112"/>
      <c r="G214" s="151"/>
      <c r="H214" s="112"/>
      <c r="I214" s="151"/>
      <c r="J214" s="112"/>
      <c r="K214" s="109"/>
    </row>
    <row r="215" spans="2:12">
      <c r="B215" s="78"/>
      <c r="C215" s="151"/>
      <c r="D215" s="112"/>
      <c r="E215" s="112"/>
      <c r="F215" s="112"/>
      <c r="G215" s="151"/>
      <c r="H215" s="112"/>
      <c r="I215" s="151"/>
      <c r="J215" s="112"/>
      <c r="K215" s="110"/>
    </row>
    <row r="216" spans="2:12">
      <c r="B216" s="82"/>
      <c r="C216" s="151"/>
      <c r="D216" s="112"/>
      <c r="E216" s="112"/>
      <c r="F216" s="112"/>
      <c r="G216" s="151"/>
      <c r="H216" s="112"/>
      <c r="I216" s="151"/>
      <c r="J216" s="112"/>
      <c r="K216" s="102"/>
    </row>
    <row r="217" spans="2:12">
      <c r="B217" s="83"/>
      <c r="C217" s="151"/>
      <c r="D217" s="112"/>
      <c r="E217" s="112"/>
      <c r="F217" s="112"/>
      <c r="G217" s="151"/>
      <c r="H217" s="112"/>
      <c r="I217" s="151"/>
      <c r="J217" s="112"/>
      <c r="K217" s="102"/>
      <c r="L217" s="127"/>
    </row>
    <row r="218" spans="2:12">
      <c r="B218" s="87"/>
      <c r="C218" s="151"/>
      <c r="D218" s="112"/>
      <c r="E218" s="112"/>
      <c r="F218" s="112"/>
      <c r="G218" s="151"/>
      <c r="H218" s="112"/>
      <c r="I218" s="112"/>
      <c r="J218" s="112"/>
      <c r="K218" s="102"/>
      <c r="L218" s="127"/>
    </row>
    <row r="219" spans="2:12">
      <c r="B219" s="87"/>
      <c r="C219" s="151"/>
      <c r="D219" s="112"/>
      <c r="E219" s="112"/>
      <c r="F219" s="112"/>
      <c r="G219" s="152"/>
      <c r="H219" s="112"/>
      <c r="I219" s="112"/>
      <c r="J219" s="112"/>
      <c r="K219" s="108"/>
      <c r="L219" s="3"/>
    </row>
    <row r="220" spans="2:12">
      <c r="B220" s="87"/>
      <c r="C220" s="151"/>
      <c r="D220" s="112"/>
      <c r="E220" s="112"/>
      <c r="F220" s="150"/>
      <c r="G220" s="153"/>
      <c r="H220" s="150"/>
      <c r="I220" s="153"/>
      <c r="J220" s="112"/>
      <c r="K220" s="107"/>
    </row>
    <row r="221" spans="2:12">
      <c r="B221" s="82"/>
      <c r="C221" s="151"/>
      <c r="D221" s="112"/>
      <c r="E221" s="112"/>
      <c r="F221" s="112"/>
      <c r="G221" s="112"/>
      <c r="H221" s="112"/>
      <c r="I221" s="112"/>
      <c r="J221" s="112"/>
      <c r="K221" s="108"/>
    </row>
    <row r="222" spans="2:12">
      <c r="B222" s="78"/>
      <c r="C222" s="151"/>
      <c r="D222" s="112"/>
      <c r="E222" s="112"/>
      <c r="F222" s="112"/>
      <c r="G222" s="310"/>
      <c r="H222" s="310"/>
      <c r="I222" s="153"/>
      <c r="J222" s="112"/>
      <c r="K222" s="102"/>
    </row>
    <row r="223" spans="2:12">
      <c r="B223" s="82"/>
      <c r="C223" s="151"/>
      <c r="D223" s="112"/>
      <c r="E223" s="112"/>
      <c r="F223" s="112"/>
      <c r="G223" s="112"/>
      <c r="H223" s="112"/>
      <c r="I223" s="112"/>
      <c r="J223" s="112"/>
      <c r="K223" s="108"/>
    </row>
    <row r="224" spans="2:12">
      <c r="B224" s="78"/>
      <c r="C224" s="151"/>
      <c r="D224" s="112"/>
      <c r="E224" s="112"/>
      <c r="F224" s="112"/>
      <c r="G224" s="112"/>
      <c r="H224" s="112"/>
      <c r="I224" s="112"/>
      <c r="J224" s="112"/>
      <c r="K224" s="102"/>
    </row>
    <row r="225" spans="2:50">
      <c r="B225" s="112"/>
      <c r="C225" s="112"/>
      <c r="D225" s="112"/>
      <c r="E225" s="112"/>
      <c r="F225" s="112"/>
      <c r="G225" s="112"/>
      <c r="H225" s="112"/>
      <c r="I225" s="112"/>
      <c r="J225" s="112"/>
      <c r="K225" s="108"/>
    </row>
    <row r="226" spans="2:50">
      <c r="K226" s="109"/>
    </row>
    <row r="227" spans="2:50">
      <c r="AA227" s="143"/>
      <c r="AB227" s="141"/>
      <c r="AO227" s="78"/>
      <c r="AP227" s="112"/>
      <c r="AQ227" s="112"/>
      <c r="AR227" s="112"/>
      <c r="AS227" s="112"/>
      <c r="AT227" s="151"/>
      <c r="AU227" s="112"/>
      <c r="AV227" s="112"/>
      <c r="AW227" s="112"/>
      <c r="AX227" s="112"/>
    </row>
    <row r="228" spans="2:50">
      <c r="AO228" s="78"/>
      <c r="AP228" s="112"/>
      <c r="AQ228" s="151"/>
      <c r="AR228" s="112"/>
      <c r="AS228" s="112"/>
      <c r="AT228" s="112"/>
      <c r="AU228" s="112"/>
      <c r="AV228" s="112"/>
      <c r="AW228" s="112"/>
      <c r="AX228" s="112"/>
    </row>
    <row r="229" spans="2:50">
      <c r="AO229" s="154"/>
      <c r="AP229" s="151"/>
      <c r="AQ229" s="151"/>
      <c r="AR229" s="151"/>
      <c r="AS229" s="151"/>
      <c r="AT229" s="151"/>
      <c r="AU229" s="151"/>
      <c r="AV229" s="151"/>
      <c r="AW229" s="151"/>
      <c r="AX229" s="151"/>
    </row>
    <row r="230" spans="2:50">
      <c r="AO230" s="150"/>
      <c r="AP230" s="112"/>
      <c r="AQ230" s="151"/>
      <c r="AR230" s="112"/>
      <c r="AS230" s="122"/>
      <c r="AT230" s="112"/>
      <c r="AU230" s="112"/>
      <c r="AV230" s="112"/>
      <c r="AW230" s="112"/>
      <c r="AX230" s="112"/>
    </row>
    <row r="231" spans="2:50">
      <c r="AO231" s="112"/>
      <c r="AP231" s="152"/>
      <c r="AQ231" s="152"/>
      <c r="AR231" s="152"/>
      <c r="AS231" s="152"/>
      <c r="AT231" s="152"/>
      <c r="AU231" s="152"/>
      <c r="AV231" s="152"/>
      <c r="AW231" s="152"/>
      <c r="AX231" s="112"/>
    </row>
    <row r="232" spans="2:50">
      <c r="AB232" s="123"/>
      <c r="AK232" s="123"/>
      <c r="AL232" s="123"/>
      <c r="AM232" s="123"/>
      <c r="AO232" s="112"/>
      <c r="AP232" s="152"/>
      <c r="AQ232" s="152"/>
      <c r="AR232" s="152"/>
      <c r="AS232" s="152"/>
      <c r="AT232" s="152"/>
      <c r="AU232" s="152"/>
      <c r="AV232" s="152"/>
      <c r="AW232" s="152"/>
      <c r="AX232" s="112"/>
    </row>
    <row r="233" spans="2:50">
      <c r="AB233" s="123"/>
      <c r="AK233" s="123"/>
      <c r="AL233" s="123"/>
      <c r="AM233" s="123"/>
      <c r="AO233" s="112"/>
      <c r="AP233" s="152"/>
      <c r="AQ233" s="152"/>
      <c r="AR233" s="152"/>
      <c r="AS233" s="152"/>
      <c r="AT233" s="152"/>
      <c r="AU233" s="152"/>
      <c r="AV233" s="152"/>
      <c r="AW233" s="152"/>
      <c r="AX233" s="112"/>
    </row>
    <row r="234" spans="2:50">
      <c r="AO234" s="112"/>
      <c r="AP234" s="151"/>
      <c r="AQ234" s="152"/>
      <c r="AR234" s="152"/>
      <c r="AS234" s="152"/>
      <c r="AT234" s="152"/>
      <c r="AU234" s="152"/>
      <c r="AV234" s="152"/>
      <c r="AW234" s="152"/>
      <c r="AX234" s="112"/>
    </row>
    <row r="235" spans="2:50">
      <c r="AO235" s="112"/>
      <c r="AP235" s="151"/>
      <c r="AQ235" s="152"/>
      <c r="AR235" s="152"/>
      <c r="AS235" s="152"/>
      <c r="AT235" s="152"/>
      <c r="AU235" s="152"/>
      <c r="AV235" s="152"/>
      <c r="AW235" s="152"/>
      <c r="AX235" s="112"/>
    </row>
    <row r="236" spans="2:50">
      <c r="AO236" s="112"/>
      <c r="AP236" s="151"/>
      <c r="AQ236" s="152"/>
      <c r="AR236" s="152"/>
      <c r="AS236" s="152"/>
      <c r="AT236" s="152"/>
      <c r="AU236" s="152"/>
      <c r="AV236" s="152"/>
      <c r="AW236" s="152"/>
      <c r="AX236" s="112"/>
    </row>
    <row r="237" spans="2:50">
      <c r="Z237" s="3"/>
      <c r="AA237" s="3"/>
      <c r="AO237" s="112"/>
      <c r="AP237" s="151"/>
      <c r="AQ237" s="152"/>
      <c r="AR237" s="152"/>
      <c r="AS237" s="152"/>
      <c r="AT237" s="152"/>
      <c r="AU237" s="152"/>
      <c r="AV237" s="152"/>
      <c r="AW237" s="152"/>
      <c r="AX237" s="112"/>
    </row>
    <row r="238" spans="2:50">
      <c r="AO238" s="150"/>
      <c r="AP238" s="112"/>
      <c r="AQ238" s="152"/>
      <c r="AR238" s="112"/>
      <c r="AS238" s="87"/>
      <c r="AT238" s="112"/>
      <c r="AU238" s="112"/>
      <c r="AV238" s="112"/>
      <c r="AW238" s="112"/>
      <c r="AX238" s="112"/>
    </row>
    <row r="239" spans="2:50">
      <c r="AB239" s="123"/>
      <c r="AK239" s="123"/>
      <c r="AL239" s="123"/>
      <c r="AM239" s="123"/>
      <c r="AO239" s="112"/>
      <c r="AP239" s="151"/>
      <c r="AQ239" s="152"/>
      <c r="AR239" s="152"/>
      <c r="AS239" s="152"/>
      <c r="AT239" s="152"/>
      <c r="AU239" s="152"/>
      <c r="AV239" s="152"/>
      <c r="AW239" s="152"/>
      <c r="AX239" s="112"/>
    </row>
    <row r="240" spans="2:50">
      <c r="AB240" s="123"/>
      <c r="AK240" s="123"/>
      <c r="AL240" s="123"/>
      <c r="AM240" s="123"/>
      <c r="AO240" s="112"/>
      <c r="AP240" s="151"/>
      <c r="AQ240" s="152"/>
      <c r="AR240" s="152"/>
      <c r="AS240" s="152"/>
      <c r="AT240" s="152"/>
      <c r="AU240" s="152"/>
      <c r="AV240" s="152"/>
      <c r="AW240" s="152"/>
      <c r="AX240" s="112"/>
    </row>
    <row r="241" spans="26:50">
      <c r="Z241" s="123"/>
      <c r="AA241" s="123"/>
      <c r="AO241" s="112"/>
      <c r="AP241" s="151"/>
      <c r="AQ241" s="152"/>
      <c r="AR241" s="152"/>
      <c r="AS241" s="152"/>
      <c r="AT241" s="152"/>
      <c r="AU241" s="152"/>
      <c r="AV241" s="152"/>
      <c r="AW241" s="152"/>
      <c r="AX241" s="112"/>
    </row>
    <row r="242" spans="26:50">
      <c r="Z242" s="123"/>
      <c r="AA242" s="123"/>
      <c r="AO242" s="150"/>
      <c r="AP242" s="153"/>
      <c r="AQ242" s="155"/>
      <c r="AR242" s="155"/>
      <c r="AS242" s="155"/>
      <c r="AT242" s="155"/>
      <c r="AU242" s="155"/>
      <c r="AV242" s="155"/>
      <c r="AW242" s="155"/>
      <c r="AX242" s="112"/>
    </row>
    <row r="243" spans="26:50">
      <c r="Z243" s="3"/>
      <c r="AA243" s="3"/>
      <c r="AO243" s="154"/>
      <c r="AP243" s="112"/>
      <c r="AQ243" s="152"/>
      <c r="AR243" s="112"/>
      <c r="AS243" s="112"/>
      <c r="AT243" s="112"/>
      <c r="AU243" s="112"/>
      <c r="AV243" s="112"/>
      <c r="AW243" s="112"/>
      <c r="AX243" s="112"/>
    </row>
    <row r="244" spans="26:50">
      <c r="AO244" s="112"/>
      <c r="AP244" s="151"/>
      <c r="AQ244" s="152"/>
      <c r="AR244" s="152"/>
      <c r="AS244" s="152"/>
      <c r="AT244" s="152"/>
      <c r="AU244" s="152"/>
      <c r="AV244" s="152"/>
      <c r="AW244" s="152"/>
      <c r="AX244" s="112"/>
    </row>
    <row r="245" spans="26:50">
      <c r="AO245" s="112"/>
      <c r="AP245" s="151"/>
      <c r="AQ245" s="152"/>
      <c r="AR245" s="152"/>
      <c r="AS245" s="152"/>
      <c r="AT245" s="152"/>
      <c r="AU245" s="152"/>
      <c r="AV245" s="152"/>
      <c r="AW245" s="152"/>
      <c r="AX245" s="112"/>
    </row>
    <row r="246" spans="26:50">
      <c r="AB246" s="123"/>
      <c r="AK246" s="123"/>
      <c r="AL246" s="123"/>
      <c r="AM246" s="123"/>
      <c r="AO246" s="112"/>
      <c r="AP246" s="151"/>
      <c r="AQ246" s="152"/>
      <c r="AR246" s="112"/>
      <c r="AS246" s="112"/>
      <c r="AT246" s="112"/>
      <c r="AU246" s="112"/>
      <c r="AV246" s="112"/>
      <c r="AW246" s="112"/>
      <c r="AX246" s="112"/>
    </row>
    <row r="247" spans="26:50">
      <c r="Z247" s="3"/>
      <c r="AA247" s="3"/>
      <c r="AB247" s="123"/>
      <c r="AK247" s="123"/>
      <c r="AL247" s="123"/>
      <c r="AM247" s="123"/>
      <c r="AO247" s="150"/>
      <c r="AP247" s="153"/>
      <c r="AQ247" s="153"/>
      <c r="AR247" s="153"/>
      <c r="AS247" s="153"/>
      <c r="AT247" s="153"/>
      <c r="AU247" s="153"/>
      <c r="AV247" s="153"/>
      <c r="AW247" s="153"/>
      <c r="AX247" s="112"/>
    </row>
    <row r="248" spans="26:50">
      <c r="Z248" s="123"/>
      <c r="AA248" s="123"/>
      <c r="AO248" s="154"/>
      <c r="AP248" s="112"/>
      <c r="AQ248" s="152"/>
      <c r="AR248" s="112"/>
      <c r="AS248" s="112"/>
      <c r="AT248" s="112"/>
      <c r="AU248" s="112"/>
      <c r="AV248" s="112"/>
      <c r="AW248" s="112"/>
      <c r="AX248" s="112"/>
    </row>
    <row r="249" spans="26:50">
      <c r="AO249" s="112"/>
      <c r="AP249" s="151"/>
      <c r="AQ249" s="152"/>
      <c r="AR249" s="152"/>
      <c r="AS249" s="152"/>
      <c r="AT249" s="152"/>
      <c r="AU249" s="152"/>
      <c r="AV249" s="152"/>
      <c r="AW249" s="152"/>
      <c r="AX249" s="112"/>
    </row>
    <row r="250" spans="26:50">
      <c r="AO250" s="150"/>
      <c r="AP250" s="153"/>
      <c r="AQ250" s="153"/>
      <c r="AR250" s="153"/>
      <c r="AS250" s="153"/>
      <c r="AT250" s="153"/>
      <c r="AU250" s="153"/>
      <c r="AV250" s="153"/>
      <c r="AW250" s="153"/>
      <c r="AX250" s="112"/>
    </row>
    <row r="251" spans="26:50">
      <c r="Z251" s="3"/>
      <c r="AA251" s="3"/>
      <c r="AO251" s="112"/>
      <c r="AP251" s="112"/>
      <c r="AQ251" s="152"/>
      <c r="AR251" s="112"/>
      <c r="AS251" s="112"/>
      <c r="AT251" s="112"/>
      <c r="AU251" s="112"/>
      <c r="AV251" s="112"/>
      <c r="AW251" s="112"/>
      <c r="AX251" s="112"/>
    </row>
    <row r="252" spans="26:50">
      <c r="AO252" s="112"/>
      <c r="AP252" s="112"/>
      <c r="AQ252" s="112"/>
      <c r="AR252" s="112"/>
      <c r="AS252" s="112"/>
      <c r="AT252" s="112"/>
      <c r="AU252" s="112"/>
      <c r="AV252" s="112"/>
      <c r="AW252" s="112"/>
      <c r="AX252" s="151"/>
    </row>
    <row r="253" spans="26:50">
      <c r="AO253" s="150"/>
      <c r="AP253" s="151"/>
      <c r="AQ253" s="151"/>
      <c r="AR253" s="151"/>
      <c r="AS253" s="151"/>
      <c r="AT253" s="151"/>
      <c r="AU253" s="151"/>
      <c r="AV253" s="151"/>
      <c r="AW253" s="151"/>
      <c r="AX253" s="112"/>
    </row>
    <row r="254" spans="26:50">
      <c r="AO254" s="112"/>
      <c r="AP254" s="151"/>
      <c r="AQ254" s="151"/>
      <c r="AR254" s="151"/>
      <c r="AS254" s="151"/>
      <c r="AT254" s="151"/>
      <c r="AU254" s="151"/>
      <c r="AV254" s="151"/>
      <c r="AW254" s="151"/>
      <c r="AX254" s="112"/>
    </row>
    <row r="255" spans="26:50">
      <c r="Z255" s="3"/>
      <c r="AA255" s="3"/>
      <c r="AO255" s="150"/>
      <c r="AP255" s="112"/>
      <c r="AQ255" s="153"/>
      <c r="AR255" s="153"/>
      <c r="AS255" s="153"/>
      <c r="AT255" s="153"/>
      <c r="AU255" s="153"/>
      <c r="AV255" s="153"/>
      <c r="AW255" s="153"/>
      <c r="AX255" s="112"/>
    </row>
    <row r="256" spans="26:50">
      <c r="Z256" s="123"/>
      <c r="AA256" s="123"/>
      <c r="AO256" s="112"/>
      <c r="AP256" s="152"/>
      <c r="AQ256" s="152"/>
      <c r="AR256" s="152"/>
      <c r="AS256" s="152"/>
      <c r="AT256" s="152"/>
      <c r="AU256" s="152"/>
      <c r="AV256" s="152"/>
      <c r="AW256" s="152"/>
      <c r="AX256" s="112"/>
    </row>
    <row r="257" spans="26:50">
      <c r="AO257" s="112"/>
      <c r="AP257" s="112"/>
      <c r="AQ257" s="112"/>
      <c r="AR257" s="152"/>
      <c r="AS257" s="112"/>
      <c r="AT257" s="112"/>
      <c r="AU257" s="112"/>
      <c r="AV257" s="112"/>
      <c r="AW257" s="112"/>
      <c r="AX257" s="112"/>
    </row>
    <row r="258" spans="26:50">
      <c r="AO258" s="112"/>
      <c r="AP258" s="112"/>
      <c r="AQ258" s="112"/>
      <c r="AR258" s="152"/>
      <c r="AS258" s="112"/>
      <c r="AT258" s="112"/>
      <c r="AU258" s="112"/>
      <c r="AV258" s="112"/>
      <c r="AW258" s="112"/>
      <c r="AX258" s="112"/>
    </row>
    <row r="259" spans="26:50">
      <c r="Z259" s="3"/>
      <c r="AA259" s="3"/>
      <c r="AX259" s="112"/>
    </row>
    <row r="261" spans="26:50">
      <c r="Z261" s="3"/>
      <c r="AA261" s="3"/>
    </row>
    <row r="264" spans="26:50">
      <c r="Z264" s="3"/>
      <c r="AA264" s="3"/>
    </row>
    <row r="265" spans="26:50">
      <c r="Z265" s="3"/>
      <c r="AA265" s="3"/>
    </row>
    <row r="266" spans="26:50">
      <c r="Z266" s="3"/>
      <c r="AA266" s="3"/>
    </row>
    <row r="267" spans="26:50">
      <c r="Z267" s="3"/>
      <c r="AA267" s="3"/>
    </row>
    <row r="268" spans="26:50">
      <c r="Z268" s="3"/>
      <c r="AA268" s="3"/>
    </row>
    <row r="269" spans="26:50">
      <c r="Z269" s="3"/>
      <c r="AA269" s="3"/>
    </row>
    <row r="272" spans="26:50">
      <c r="Z272" s="3"/>
      <c r="AA272" s="3"/>
    </row>
    <row r="273" spans="26:27">
      <c r="Z273" s="3"/>
      <c r="AA273" s="3"/>
    </row>
    <row r="274" spans="26:27">
      <c r="Z274" s="3"/>
      <c r="AA274" s="3"/>
    </row>
    <row r="275" spans="26:27">
      <c r="Z275" s="3"/>
      <c r="AA275" s="3"/>
    </row>
    <row r="279" spans="26:27">
      <c r="Z279" s="3"/>
      <c r="AA279" s="3"/>
    </row>
  </sheetData>
  <mergeCells count="50">
    <mergeCell ref="Q92:X92"/>
    <mergeCell ref="O118:P118"/>
    <mergeCell ref="O119:P119"/>
    <mergeCell ref="B177:J177"/>
    <mergeCell ref="B125:J125"/>
    <mergeCell ref="F212:H212"/>
    <mergeCell ref="G222:H222"/>
    <mergeCell ref="N87:O87"/>
    <mergeCell ref="N90:P90"/>
    <mergeCell ref="O93:P93"/>
    <mergeCell ref="O102:P102"/>
    <mergeCell ref="O103:P103"/>
    <mergeCell ref="O109:P109"/>
    <mergeCell ref="L159:M159"/>
    <mergeCell ref="N85:O85"/>
    <mergeCell ref="B47:H47"/>
    <mergeCell ref="K47:Q47"/>
    <mergeCell ref="B49:B52"/>
    <mergeCell ref="K49:K52"/>
    <mergeCell ref="B54:H54"/>
    <mergeCell ref="K54:Q54"/>
    <mergeCell ref="B56:B59"/>
    <mergeCell ref="K56:K59"/>
    <mergeCell ref="B67:J67"/>
    <mergeCell ref="B83:J83"/>
    <mergeCell ref="N83:R83"/>
    <mergeCell ref="B35:B38"/>
    <mergeCell ref="K35:K38"/>
    <mergeCell ref="B40:H40"/>
    <mergeCell ref="K40:Q40"/>
    <mergeCell ref="B42:B45"/>
    <mergeCell ref="K42:K45"/>
    <mergeCell ref="B26:H26"/>
    <mergeCell ref="K26:Q26"/>
    <mergeCell ref="B28:B31"/>
    <mergeCell ref="K28:K31"/>
    <mergeCell ref="B33:H33"/>
    <mergeCell ref="K33:Q33"/>
    <mergeCell ref="B14:B17"/>
    <mergeCell ref="K14:K17"/>
    <mergeCell ref="B19:H19"/>
    <mergeCell ref="K19:Q19"/>
    <mergeCell ref="B21:B24"/>
    <mergeCell ref="K21:K24"/>
    <mergeCell ref="B5:H5"/>
    <mergeCell ref="K5:Q5"/>
    <mergeCell ref="B7:B10"/>
    <mergeCell ref="K7:K10"/>
    <mergeCell ref="B12:H12"/>
    <mergeCell ref="K12:Q1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C4:K22"/>
  <sheetViews>
    <sheetView showGridLines="0" workbookViewId="0">
      <selection activeCell="C4" sqref="C4"/>
    </sheetView>
  </sheetViews>
  <sheetFormatPr baseColWidth="10" defaultRowHeight="15"/>
  <cols>
    <col min="5" max="5" width="16.42578125" bestFit="1" customWidth="1"/>
    <col min="6" max="6" width="11.28515625" bestFit="1" customWidth="1"/>
    <col min="7" max="7" width="12.28515625" bestFit="1" customWidth="1"/>
    <col min="11" max="11" width="11.5703125" bestFit="1" customWidth="1"/>
  </cols>
  <sheetData>
    <row r="4" spans="3:10">
      <c r="C4" s="6"/>
      <c r="D4" s="6"/>
      <c r="E4" s="19" t="s">
        <v>16</v>
      </c>
      <c r="F4" s="20">
        <v>85000</v>
      </c>
      <c r="G4" s="6"/>
      <c r="H4" s="6"/>
      <c r="I4" s="6"/>
      <c r="J4" s="6"/>
    </row>
    <row r="5" spans="3:10">
      <c r="C5" s="6"/>
      <c r="D5" s="6"/>
      <c r="E5" s="14" t="s">
        <v>17</v>
      </c>
      <c r="F5" s="15">
        <v>0.1183</v>
      </c>
      <c r="G5" s="6"/>
      <c r="H5" s="6"/>
      <c r="I5" s="6"/>
      <c r="J5" s="6"/>
    </row>
    <row r="6" spans="3:10">
      <c r="C6" s="6"/>
      <c r="D6" s="6"/>
      <c r="E6" s="14" t="s">
        <v>18</v>
      </c>
      <c r="F6" s="16">
        <v>5</v>
      </c>
      <c r="G6" s="6"/>
      <c r="H6" s="6"/>
      <c r="I6" s="6"/>
      <c r="J6" s="6"/>
    </row>
    <row r="7" spans="3:10" ht="15.75" thickBot="1">
      <c r="C7" s="7"/>
      <c r="D7" s="7"/>
      <c r="E7" s="17" t="s">
        <v>19</v>
      </c>
      <c r="F7" s="18">
        <v>41426</v>
      </c>
      <c r="G7" s="7"/>
      <c r="H7" s="7"/>
      <c r="I7" s="7"/>
      <c r="J7" s="7"/>
    </row>
    <row r="8" spans="3:10" ht="15.75" thickTop="1">
      <c r="C8" s="7"/>
      <c r="D8" s="7"/>
      <c r="E8" s="7"/>
      <c r="F8" s="8"/>
      <c r="G8" s="7"/>
      <c r="H8" s="9"/>
      <c r="I8" s="7"/>
      <c r="J8" s="7"/>
    </row>
    <row r="9" spans="3:10" ht="15.75">
      <c r="C9" s="7"/>
      <c r="D9" s="317" t="s">
        <v>20</v>
      </c>
      <c r="E9" s="317"/>
      <c r="F9" s="317"/>
      <c r="G9" s="317"/>
      <c r="H9" s="317"/>
      <c r="I9" s="317"/>
      <c r="J9" s="317"/>
    </row>
    <row r="10" spans="3:10" ht="26.25">
      <c r="C10" s="7"/>
      <c r="D10" s="23" t="s">
        <v>21</v>
      </c>
      <c r="E10" s="23" t="s">
        <v>22</v>
      </c>
      <c r="F10" s="24" t="s">
        <v>23</v>
      </c>
      <c r="G10" s="23" t="s">
        <v>24</v>
      </c>
      <c r="H10" s="23" t="s">
        <v>25</v>
      </c>
      <c r="I10" s="23" t="s">
        <v>26</v>
      </c>
      <c r="J10" s="23" t="s">
        <v>27</v>
      </c>
    </row>
    <row r="11" spans="3:10">
      <c r="C11" s="12"/>
      <c r="D11" s="27">
        <v>1</v>
      </c>
      <c r="E11" s="27">
        <v>2014</v>
      </c>
      <c r="F11" s="28">
        <v>85000</v>
      </c>
      <c r="G11" s="29">
        <v>11740.301314764529</v>
      </c>
      <c r="H11" s="29">
        <v>6712.5513147645288</v>
      </c>
      <c r="I11" s="29">
        <v>5027.75</v>
      </c>
      <c r="J11" s="29">
        <v>78287.448685235475</v>
      </c>
    </row>
    <row r="12" spans="3:10">
      <c r="C12" s="13"/>
      <c r="D12" s="21">
        <v>2</v>
      </c>
      <c r="E12" s="21">
        <v>2015</v>
      </c>
      <c r="F12" s="22">
        <v>78287.448685235475</v>
      </c>
      <c r="G12" s="22">
        <v>23480.602629529058</v>
      </c>
      <c r="H12" s="22">
        <v>14219.197450065702</v>
      </c>
      <c r="I12" s="22">
        <v>9261.405179463356</v>
      </c>
      <c r="J12" s="22">
        <v>64068.251235169773</v>
      </c>
    </row>
    <row r="13" spans="3:10">
      <c r="C13" s="13"/>
      <c r="D13" s="21">
        <v>3</v>
      </c>
      <c r="E13" s="21">
        <v>2016</v>
      </c>
      <c r="F13" s="22">
        <v>64068.251235169773</v>
      </c>
      <c r="G13" s="22">
        <v>23480.602629529058</v>
      </c>
      <c r="H13" s="22">
        <v>15901.328508408475</v>
      </c>
      <c r="I13" s="22">
        <v>7579.2741211205839</v>
      </c>
      <c r="J13" s="22">
        <v>48166.922726761302</v>
      </c>
    </row>
    <row r="14" spans="3:10">
      <c r="C14" s="13"/>
      <c r="D14" s="21">
        <v>4</v>
      </c>
      <c r="E14" s="21">
        <v>2017</v>
      </c>
      <c r="F14" s="22">
        <v>48166.922726761302</v>
      </c>
      <c r="G14" s="22">
        <v>23480.602629529058</v>
      </c>
      <c r="H14" s="22">
        <v>17782.455670953197</v>
      </c>
      <c r="I14" s="22">
        <v>5698.1469585758623</v>
      </c>
      <c r="J14" s="22">
        <v>30384.467055808105</v>
      </c>
    </row>
    <row r="15" spans="3:10">
      <c r="C15" s="13"/>
      <c r="D15" s="21">
        <v>5</v>
      </c>
      <c r="E15" s="21">
        <v>2018</v>
      </c>
      <c r="F15" s="22">
        <v>30384.467055808105</v>
      </c>
      <c r="G15" s="22">
        <v>23480.602629529058</v>
      </c>
      <c r="H15" s="22">
        <v>19886.12017682696</v>
      </c>
      <c r="I15" s="22">
        <v>3594.4824527020987</v>
      </c>
      <c r="J15" s="22">
        <v>10498.346878981145</v>
      </c>
    </row>
    <row r="16" spans="3:10" ht="15.75" thickBot="1">
      <c r="C16" s="12"/>
      <c r="D16" s="25">
        <v>6</v>
      </c>
      <c r="E16" s="25">
        <v>2019</v>
      </c>
      <c r="F16" s="26">
        <v>10498.346878981145</v>
      </c>
      <c r="G16" s="26">
        <v>11740.301314764529</v>
      </c>
      <c r="H16" s="26">
        <v>10498.346878981059</v>
      </c>
      <c r="I16" s="26">
        <v>1241.9544357834695</v>
      </c>
      <c r="J16" s="26">
        <v>8.5492501966655254E-11</v>
      </c>
    </row>
    <row r="17" spans="3:11" ht="15.75" thickTop="1">
      <c r="C17" s="7"/>
      <c r="D17" s="7"/>
      <c r="E17" s="7"/>
      <c r="F17" s="10" t="s">
        <v>28</v>
      </c>
      <c r="G17" s="11">
        <v>105662.71183288077</v>
      </c>
      <c r="H17" s="11">
        <v>74501.65312101887</v>
      </c>
      <c r="I17" s="11">
        <v>31161.058711861901</v>
      </c>
      <c r="J17" s="9"/>
    </row>
    <row r="18" spans="3:11">
      <c r="C18" s="7"/>
      <c r="D18" s="7"/>
      <c r="E18" s="7"/>
      <c r="F18" s="7"/>
      <c r="G18" s="9"/>
      <c r="H18" s="7"/>
      <c r="I18" s="7"/>
      <c r="J18" s="7"/>
    </row>
    <row r="19" spans="3:11">
      <c r="C19" s="34" t="s">
        <v>29</v>
      </c>
      <c r="D19" s="34"/>
      <c r="E19" s="30">
        <v>2014</v>
      </c>
      <c r="F19" s="31">
        <v>2015</v>
      </c>
      <c r="G19" s="30">
        <v>2016</v>
      </c>
      <c r="H19" s="31">
        <v>2017</v>
      </c>
      <c r="I19" s="30">
        <v>2018</v>
      </c>
      <c r="J19" s="31">
        <v>2019</v>
      </c>
    </row>
    <row r="20" spans="3:11">
      <c r="C20" s="19" t="s">
        <v>30</v>
      </c>
      <c r="D20" s="19"/>
      <c r="E20" s="33">
        <v>6712.5513147645288</v>
      </c>
      <c r="F20" s="33">
        <v>14219.197450065702</v>
      </c>
      <c r="G20" s="33">
        <v>15901.328508408475</v>
      </c>
      <c r="H20" s="33">
        <v>17782.455670953197</v>
      </c>
      <c r="I20" s="33">
        <v>19886.12017682696</v>
      </c>
      <c r="J20" s="33">
        <v>10498.346878981059</v>
      </c>
      <c r="K20" s="4"/>
    </row>
    <row r="21" spans="3:11" ht="15.75" thickBot="1">
      <c r="C21" s="17" t="s">
        <v>31</v>
      </c>
      <c r="D21" s="17"/>
      <c r="E21" s="32">
        <v>5027.75</v>
      </c>
      <c r="F21" s="32">
        <v>9261.405179463356</v>
      </c>
      <c r="G21" s="32">
        <v>7579.2741211205839</v>
      </c>
      <c r="H21" s="32">
        <v>5698.1469585758623</v>
      </c>
      <c r="I21" s="32">
        <v>3594.4824527020987</v>
      </c>
      <c r="J21" s="32">
        <v>1241.9544357834695</v>
      </c>
      <c r="K21" s="4"/>
    </row>
    <row r="22" spans="3:11" ht="15.75" thickTop="1">
      <c r="C22" s="5"/>
      <c r="D22" s="5"/>
      <c r="E22" s="5"/>
      <c r="F22" s="5"/>
      <c r="G22" s="5"/>
      <c r="H22" s="5"/>
      <c r="I22" s="5"/>
      <c r="J22" s="5"/>
    </row>
  </sheetData>
  <mergeCells count="1">
    <mergeCell ref="D9:J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2:AR147"/>
  <sheetViews>
    <sheetView showGridLines="0" zoomScale="80" zoomScaleNormal="80" workbookViewId="0">
      <selection activeCell="D13" sqref="D13"/>
    </sheetView>
  </sheetViews>
  <sheetFormatPr baseColWidth="10" defaultRowHeight="15"/>
  <cols>
    <col min="2" max="2" width="16.7109375" customWidth="1"/>
    <col min="3" max="3" width="12.85546875" customWidth="1"/>
    <col min="5" max="5" width="13" bestFit="1" customWidth="1"/>
    <col min="18" max="18" width="13.5703125" bestFit="1" customWidth="1"/>
    <col min="19" max="19" width="12.42578125" bestFit="1" customWidth="1"/>
    <col min="20" max="20" width="13.5703125" bestFit="1" customWidth="1"/>
    <col min="26" max="26" width="11.42578125" customWidth="1"/>
    <col min="27" max="27" width="15.85546875" customWidth="1"/>
    <col min="28" max="35" width="13.85546875" bestFit="1" customWidth="1"/>
    <col min="37" max="37" width="12.42578125" bestFit="1" customWidth="1"/>
    <col min="39" max="39" width="12.42578125" bestFit="1" customWidth="1"/>
    <col min="41" max="41" width="12.42578125" bestFit="1" customWidth="1"/>
    <col min="43" max="43" width="12.42578125" bestFit="1" customWidth="1"/>
  </cols>
  <sheetData>
    <row r="2" spans="2:44" ht="23.25">
      <c r="B2" s="332" t="s">
        <v>89</v>
      </c>
      <c r="C2" s="332"/>
      <c r="D2" s="332"/>
      <c r="E2" s="332"/>
      <c r="F2" s="332"/>
      <c r="G2" s="332"/>
      <c r="H2" s="332"/>
      <c r="I2" s="332"/>
      <c r="J2" s="332"/>
      <c r="K2" s="332"/>
      <c r="L2" s="332"/>
      <c r="M2" s="332"/>
      <c r="N2" s="332"/>
      <c r="O2" s="332"/>
      <c r="P2" s="332"/>
      <c r="Q2" s="332"/>
      <c r="R2" s="332"/>
      <c r="S2" s="332"/>
      <c r="T2" s="332"/>
      <c r="U2" s="46"/>
      <c r="V2" s="46"/>
      <c r="X2" s="119"/>
      <c r="Y2" s="119"/>
      <c r="Z2" s="119"/>
      <c r="AA2" s="119"/>
      <c r="AB2" s="119"/>
      <c r="AC2" s="119"/>
      <c r="AD2" s="119"/>
      <c r="AE2" s="119"/>
      <c r="AF2" s="119"/>
      <c r="AG2" s="119"/>
      <c r="AH2" s="119"/>
      <c r="AI2" s="119"/>
    </row>
    <row r="3" spans="2:44">
      <c r="B3" s="273"/>
      <c r="C3" s="273"/>
      <c r="D3" s="273"/>
      <c r="E3" s="327" t="s">
        <v>90</v>
      </c>
      <c r="F3" s="327"/>
      <c r="G3" s="327" t="s">
        <v>91</v>
      </c>
      <c r="H3" s="327"/>
      <c r="I3" s="327" t="s">
        <v>92</v>
      </c>
      <c r="J3" s="327"/>
      <c r="K3" s="327" t="s">
        <v>93</v>
      </c>
      <c r="L3" s="327"/>
      <c r="M3" s="327" t="s">
        <v>94</v>
      </c>
      <c r="N3" s="327"/>
      <c r="O3" s="327" t="s">
        <v>95</v>
      </c>
      <c r="P3" s="327"/>
      <c r="Q3" s="327" t="s">
        <v>96</v>
      </c>
      <c r="R3" s="327"/>
      <c r="S3" s="327" t="s">
        <v>97</v>
      </c>
      <c r="T3" s="327"/>
      <c r="U3" s="50"/>
      <c r="V3" s="50"/>
      <c r="X3" s="119"/>
      <c r="Y3" s="119"/>
      <c r="Z3" s="119"/>
      <c r="AA3" s="119"/>
    </row>
    <row r="4" spans="2:44">
      <c r="B4" s="323" t="s">
        <v>98</v>
      </c>
      <c r="C4" s="323"/>
      <c r="D4" s="271" t="s">
        <v>2</v>
      </c>
      <c r="E4" s="271" t="s">
        <v>99</v>
      </c>
      <c r="F4" s="271" t="s">
        <v>100</v>
      </c>
      <c r="G4" s="271" t="s">
        <v>99</v>
      </c>
      <c r="H4" s="271" t="s">
        <v>100</v>
      </c>
      <c r="I4" s="271" t="s">
        <v>99</v>
      </c>
      <c r="J4" s="271" t="s">
        <v>100</v>
      </c>
      <c r="K4" s="271" t="s">
        <v>99</v>
      </c>
      <c r="L4" s="271" t="s">
        <v>100</v>
      </c>
      <c r="M4" s="271" t="s">
        <v>99</v>
      </c>
      <c r="N4" s="271" t="s">
        <v>100</v>
      </c>
      <c r="O4" s="271" t="s">
        <v>99</v>
      </c>
      <c r="P4" s="271" t="s">
        <v>100</v>
      </c>
      <c r="Q4" s="271" t="s">
        <v>99</v>
      </c>
      <c r="R4" s="271" t="s">
        <v>100</v>
      </c>
      <c r="S4" s="271" t="s">
        <v>99</v>
      </c>
      <c r="T4" s="271" t="s">
        <v>100</v>
      </c>
      <c r="U4" s="46"/>
      <c r="V4" s="46"/>
      <c r="X4" s="119"/>
      <c r="Y4" s="119"/>
      <c r="Z4" s="119"/>
      <c r="AA4" s="119"/>
    </row>
    <row r="5" spans="2:44" ht="23.25">
      <c r="B5" s="321" t="s">
        <v>103</v>
      </c>
      <c r="C5" s="47" t="s">
        <v>104</v>
      </c>
      <c r="D5" s="47">
        <v>2000</v>
      </c>
      <c r="E5" s="287">
        <v>360</v>
      </c>
      <c r="F5" s="51">
        <v>360</v>
      </c>
      <c r="G5" s="51">
        <v>360</v>
      </c>
      <c r="H5" s="51">
        <v>360</v>
      </c>
      <c r="I5" s="51">
        <v>360</v>
      </c>
      <c r="J5" s="51">
        <v>360</v>
      </c>
      <c r="K5" s="51">
        <v>360</v>
      </c>
      <c r="L5" s="51">
        <v>360</v>
      </c>
      <c r="M5" s="51">
        <v>360</v>
      </c>
      <c r="N5" s="51">
        <v>360</v>
      </c>
      <c r="O5" s="51">
        <v>360</v>
      </c>
      <c r="P5" s="51">
        <v>360</v>
      </c>
      <c r="Q5" s="51">
        <v>360</v>
      </c>
      <c r="R5" s="51">
        <v>360</v>
      </c>
      <c r="S5" s="51">
        <v>360</v>
      </c>
      <c r="T5" s="51">
        <v>360</v>
      </c>
      <c r="U5" s="46"/>
      <c r="V5" s="46"/>
      <c r="X5" s="119"/>
      <c r="Y5" s="331" t="s">
        <v>274</v>
      </c>
      <c r="Z5" s="331"/>
      <c r="AA5" s="331"/>
      <c r="AB5" s="331"/>
      <c r="AC5" s="331"/>
      <c r="AD5" s="331"/>
      <c r="AE5" s="331"/>
      <c r="AF5" s="331"/>
      <c r="AG5" s="331"/>
      <c r="AH5" s="331"/>
      <c r="AI5" s="331"/>
    </row>
    <row r="6" spans="2:44" ht="23.25" customHeight="1">
      <c r="B6" s="321"/>
      <c r="C6" s="47" t="s">
        <v>107</v>
      </c>
      <c r="D6" s="47">
        <v>2000</v>
      </c>
      <c r="E6" s="51">
        <v>800</v>
      </c>
      <c r="F6" s="51">
        <v>800</v>
      </c>
      <c r="G6" s="51">
        <v>1600</v>
      </c>
      <c r="H6" s="51">
        <v>1600</v>
      </c>
      <c r="I6" s="51">
        <v>1600</v>
      </c>
      <c r="J6" s="51">
        <v>1600</v>
      </c>
      <c r="K6" s="51">
        <v>1600</v>
      </c>
      <c r="L6" s="51">
        <v>1600</v>
      </c>
      <c r="M6" s="51">
        <v>1600</v>
      </c>
      <c r="N6" s="51">
        <v>1600</v>
      </c>
      <c r="O6" s="51">
        <v>1600</v>
      </c>
      <c r="P6" s="51">
        <v>1600</v>
      </c>
      <c r="Q6" s="51">
        <v>1600</v>
      </c>
      <c r="R6" s="51">
        <v>1600</v>
      </c>
      <c r="S6" s="51">
        <v>1600</v>
      </c>
      <c r="T6" s="51">
        <v>1600</v>
      </c>
      <c r="U6" s="46"/>
      <c r="V6" s="46"/>
      <c r="X6" s="119"/>
      <c r="AB6" s="120" t="s">
        <v>90</v>
      </c>
      <c r="AC6" s="120" t="s">
        <v>91</v>
      </c>
      <c r="AD6" s="120" t="s">
        <v>92</v>
      </c>
      <c r="AE6" s="120" t="s">
        <v>93</v>
      </c>
      <c r="AF6" s="120" t="s">
        <v>94</v>
      </c>
      <c r="AG6" s="120" t="s">
        <v>95</v>
      </c>
      <c r="AH6" s="120" t="s">
        <v>96</v>
      </c>
      <c r="AI6" s="120" t="s">
        <v>97</v>
      </c>
    </row>
    <row r="7" spans="2:44">
      <c r="B7" s="321"/>
      <c r="C7" s="47" t="s">
        <v>109</v>
      </c>
      <c r="D7" s="47">
        <v>400</v>
      </c>
      <c r="E7" s="288">
        <v>250</v>
      </c>
      <c r="F7" s="289">
        <v>250</v>
      </c>
      <c r="G7" s="289">
        <v>500</v>
      </c>
      <c r="H7" s="289">
        <v>500</v>
      </c>
      <c r="I7" s="289">
        <v>500</v>
      </c>
      <c r="J7" s="289">
        <v>500</v>
      </c>
      <c r="K7" s="289">
        <v>500</v>
      </c>
      <c r="L7" s="289">
        <v>500</v>
      </c>
      <c r="M7" s="289">
        <v>500</v>
      </c>
      <c r="N7" s="289">
        <v>500</v>
      </c>
      <c r="O7" s="289">
        <v>500</v>
      </c>
      <c r="P7" s="289">
        <v>500</v>
      </c>
      <c r="Q7" s="289">
        <v>500</v>
      </c>
      <c r="R7" s="289">
        <v>500</v>
      </c>
      <c r="S7" s="289">
        <v>500</v>
      </c>
      <c r="T7" s="289">
        <v>500</v>
      </c>
      <c r="U7" s="46"/>
      <c r="V7" s="46"/>
      <c r="X7" s="119"/>
      <c r="Y7" s="326" t="s">
        <v>228</v>
      </c>
      <c r="Z7" s="326"/>
      <c r="AA7" s="326"/>
      <c r="AB7" s="292">
        <f t="shared" ref="AB7:AI7" si="0">+AB9*0.55</f>
        <v>71225</v>
      </c>
      <c r="AC7" s="292">
        <f t="shared" si="0"/>
        <v>86913.75</v>
      </c>
      <c r="AD7" s="292">
        <f t="shared" si="0"/>
        <v>99748.687500000015</v>
      </c>
      <c r="AE7" s="292">
        <f t="shared" si="0"/>
        <v>104736.12187500001</v>
      </c>
      <c r="AF7" s="292">
        <f t="shared" si="0"/>
        <v>119332.32609375002</v>
      </c>
      <c r="AG7" s="292">
        <f t="shared" si="0"/>
        <v>125298.94239843753</v>
      </c>
      <c r="AH7" s="292">
        <f t="shared" si="0"/>
        <v>141882.62595117191</v>
      </c>
      <c r="AI7" s="292">
        <f t="shared" si="0"/>
        <v>148976.75724873052</v>
      </c>
    </row>
    <row r="8" spans="2:44" ht="39" customHeight="1" thickBot="1">
      <c r="B8" s="272" t="s">
        <v>111</v>
      </c>
      <c r="C8" s="47" t="s">
        <v>112</v>
      </c>
      <c r="D8" s="47">
        <v>2</v>
      </c>
      <c r="E8" s="289">
        <v>600</v>
      </c>
      <c r="F8" s="289">
        <v>600</v>
      </c>
      <c r="G8" s="51">
        <v>600</v>
      </c>
      <c r="H8" s="51">
        <v>600</v>
      </c>
      <c r="I8" s="51">
        <v>600</v>
      </c>
      <c r="J8" s="51">
        <v>600</v>
      </c>
      <c r="K8" s="51">
        <v>600</v>
      </c>
      <c r="L8" s="51">
        <v>600</v>
      </c>
      <c r="M8" s="51">
        <v>600</v>
      </c>
      <c r="N8" s="51">
        <v>600</v>
      </c>
      <c r="O8" s="51">
        <v>600</v>
      </c>
      <c r="P8" s="51">
        <v>600</v>
      </c>
      <c r="Q8" s="51">
        <v>600</v>
      </c>
      <c r="R8" s="51">
        <v>600</v>
      </c>
      <c r="S8" s="51">
        <v>600</v>
      </c>
      <c r="T8" s="51">
        <v>600</v>
      </c>
      <c r="U8" s="46"/>
      <c r="V8" s="46"/>
      <c r="X8" s="119"/>
      <c r="Y8" s="328" t="s">
        <v>275</v>
      </c>
      <c r="Z8" s="328"/>
      <c r="AA8" s="328"/>
      <c r="AB8" s="219">
        <f t="shared" ref="AB8:AI8" si="1">+AB9-AB7</f>
        <v>58275</v>
      </c>
      <c r="AC8" s="219">
        <f t="shared" si="1"/>
        <v>71111.25</v>
      </c>
      <c r="AD8" s="219">
        <f t="shared" si="1"/>
        <v>81612.562499999985</v>
      </c>
      <c r="AE8" s="219">
        <f t="shared" si="1"/>
        <v>85693.190624999988</v>
      </c>
      <c r="AF8" s="219">
        <f t="shared" si="1"/>
        <v>97635.53953124999</v>
      </c>
      <c r="AG8" s="219">
        <f t="shared" si="1"/>
        <v>102517.3165078125</v>
      </c>
      <c r="AH8" s="219">
        <f t="shared" si="1"/>
        <v>116085.78486914065</v>
      </c>
      <c r="AI8" s="219">
        <f t="shared" si="1"/>
        <v>121890.07411259768</v>
      </c>
    </row>
    <row r="9" spans="2:44" ht="43.5" customHeight="1" thickTop="1">
      <c r="B9" s="272" t="s">
        <v>227</v>
      </c>
      <c r="C9" s="47" t="s">
        <v>114</v>
      </c>
      <c r="D9" s="47">
        <v>10</v>
      </c>
      <c r="E9" s="289">
        <v>0</v>
      </c>
      <c r="F9" s="289"/>
      <c r="G9" s="289"/>
      <c r="H9" s="289"/>
      <c r="I9" s="289">
        <v>300</v>
      </c>
      <c r="J9" s="289">
        <v>300</v>
      </c>
      <c r="K9" s="289">
        <v>300</v>
      </c>
      <c r="L9" s="289">
        <v>300</v>
      </c>
      <c r="M9" s="289">
        <v>300</v>
      </c>
      <c r="N9" s="289">
        <v>300</v>
      </c>
      <c r="O9" s="289"/>
      <c r="P9" s="289"/>
      <c r="Q9" s="48"/>
      <c r="R9" s="48"/>
      <c r="S9" s="48"/>
      <c r="T9" s="48"/>
      <c r="U9" s="46"/>
      <c r="V9" s="46"/>
      <c r="X9" s="119"/>
      <c r="Y9" s="325" t="s">
        <v>71</v>
      </c>
      <c r="Z9" s="325"/>
      <c r="AA9" s="325"/>
      <c r="AB9" s="293">
        <f>+'ESTADOS FINANCIEROS'!C86</f>
        <v>129500</v>
      </c>
      <c r="AC9" s="293">
        <f>+'ESTADOS FINANCIEROS'!D86</f>
        <v>158025</v>
      </c>
      <c r="AD9" s="293">
        <f>+'ESTADOS FINANCIEROS'!E86</f>
        <v>181361.25</v>
      </c>
      <c r="AE9" s="293">
        <f>+'ESTADOS FINANCIEROS'!F86</f>
        <v>190429.3125</v>
      </c>
      <c r="AF9" s="293">
        <f>+'ESTADOS FINANCIEROS'!G86</f>
        <v>216967.86562500001</v>
      </c>
      <c r="AG9" s="293">
        <f>+'ESTADOS FINANCIEROS'!H86</f>
        <v>227816.25890625003</v>
      </c>
      <c r="AH9" s="293">
        <f>+'ESTADOS FINANCIEROS'!I86</f>
        <v>257968.41082031257</v>
      </c>
      <c r="AI9" s="293">
        <f>+'ESTADOS FINANCIEROS'!J86</f>
        <v>270866.83136132819</v>
      </c>
    </row>
    <row r="10" spans="2:44" ht="16.5" customHeight="1" thickBot="1">
      <c r="B10" s="321" t="s">
        <v>116</v>
      </c>
      <c r="C10" s="272" t="s">
        <v>117</v>
      </c>
      <c r="D10" s="272">
        <v>20</v>
      </c>
      <c r="E10" s="48">
        <v>0</v>
      </c>
      <c r="F10" s="48"/>
      <c r="G10" s="48"/>
      <c r="H10" s="48"/>
      <c r="I10" s="272"/>
      <c r="J10" s="272"/>
      <c r="K10" s="272"/>
      <c r="L10" s="272"/>
      <c r="M10" s="272"/>
      <c r="N10" s="48"/>
      <c r="O10" s="48">
        <v>160</v>
      </c>
      <c r="P10" s="48"/>
      <c r="Q10" s="48">
        <v>160</v>
      </c>
      <c r="R10" s="48"/>
      <c r="S10" s="48">
        <v>160</v>
      </c>
      <c r="T10" s="48">
        <v>160</v>
      </c>
      <c r="U10" s="46"/>
      <c r="V10" s="46"/>
      <c r="X10" s="119"/>
      <c r="Y10" s="330" t="s">
        <v>113</v>
      </c>
      <c r="Z10" s="330"/>
      <c r="AA10" s="330"/>
      <c r="AB10" s="294">
        <f>+E20</f>
        <v>6170</v>
      </c>
      <c r="AC10" s="295">
        <f>+G20</f>
        <v>9620</v>
      </c>
      <c r="AD10" s="295">
        <f>+I20</f>
        <v>10904</v>
      </c>
      <c r="AE10" s="295">
        <f>+K20</f>
        <v>11900.96</v>
      </c>
      <c r="AF10" s="295">
        <f>+M20</f>
        <v>13204.582399999999</v>
      </c>
      <c r="AG10" s="295">
        <f>+O20</f>
        <v>15609.798655999999</v>
      </c>
      <c r="AH10" s="295">
        <f>+Q20</f>
        <v>22940.910064639997</v>
      </c>
      <c r="AI10" s="295">
        <f>+S20</f>
        <v>31647.710493081595</v>
      </c>
    </row>
    <row r="11" spans="2:44" ht="22.5" customHeight="1" thickTop="1">
      <c r="B11" s="321"/>
      <c r="C11" s="272" t="s">
        <v>119</v>
      </c>
      <c r="D11" s="272">
        <v>20</v>
      </c>
      <c r="E11" s="48">
        <v>0</v>
      </c>
      <c r="F11" s="48"/>
      <c r="G11" s="48"/>
      <c r="H11" s="48"/>
      <c r="I11" s="272"/>
      <c r="J11" s="272"/>
      <c r="K11" s="272"/>
      <c r="L11" s="272"/>
      <c r="M11" s="272"/>
      <c r="N11" s="48"/>
      <c r="O11" s="48">
        <v>140</v>
      </c>
      <c r="P11" s="48"/>
      <c r="Q11" s="48">
        <v>140</v>
      </c>
      <c r="R11" s="48"/>
      <c r="S11" s="48">
        <v>140</v>
      </c>
      <c r="T11" s="48">
        <v>140</v>
      </c>
      <c r="U11" s="46"/>
      <c r="V11" s="46"/>
      <c r="X11" s="119"/>
      <c r="Y11" s="329" t="s">
        <v>274</v>
      </c>
      <c r="Z11" s="329"/>
      <c r="AA11" s="329"/>
      <c r="AB11" s="256">
        <f t="shared" ref="AB11:AI11" si="2">+AB10/AB8</f>
        <v>0.10587730587730587</v>
      </c>
      <c r="AC11" s="256">
        <f t="shared" si="2"/>
        <v>0.13528098577932465</v>
      </c>
      <c r="AD11" s="256">
        <f t="shared" si="2"/>
        <v>0.13360688190620165</v>
      </c>
      <c r="AE11" s="256">
        <f t="shared" si="2"/>
        <v>0.13887871268651342</v>
      </c>
      <c r="AF11" s="256">
        <f t="shared" si="2"/>
        <v>0.13524360559070439</v>
      </c>
      <c r="AG11" s="256">
        <f t="shared" si="2"/>
        <v>0.15226499471248284</v>
      </c>
      <c r="AH11" s="256">
        <f t="shared" si="2"/>
        <v>0.19762032095919807</v>
      </c>
      <c r="AI11" s="256">
        <f t="shared" si="2"/>
        <v>0.25964140824007192</v>
      </c>
    </row>
    <row r="12" spans="2:44" ht="22.5" customHeight="1">
      <c r="B12" s="321"/>
      <c r="C12" s="272" t="s">
        <v>120</v>
      </c>
      <c r="D12" s="272">
        <v>20</v>
      </c>
      <c r="E12" s="48">
        <v>0</v>
      </c>
      <c r="F12" s="48"/>
      <c r="G12" s="48"/>
      <c r="H12" s="48"/>
      <c r="I12" s="272"/>
      <c r="J12" s="272"/>
      <c r="K12" s="272"/>
      <c r="L12" s="272"/>
      <c r="M12" s="272"/>
      <c r="N12" s="48"/>
      <c r="O12" s="48">
        <v>360</v>
      </c>
      <c r="P12" s="48"/>
      <c r="Q12" s="48">
        <v>360</v>
      </c>
      <c r="R12" s="48"/>
      <c r="S12" s="48">
        <v>360</v>
      </c>
      <c r="T12" s="48">
        <v>360</v>
      </c>
      <c r="U12" s="46"/>
      <c r="V12" s="46"/>
      <c r="X12" s="119"/>
      <c r="Y12" s="46"/>
      <c r="Z12" s="46"/>
      <c r="AA12" s="46"/>
      <c r="AB12" s="46"/>
      <c r="AC12" s="46"/>
      <c r="AD12" s="46"/>
      <c r="AE12" s="46"/>
      <c r="AF12" s="46"/>
      <c r="AG12" s="46"/>
      <c r="AH12" s="46"/>
      <c r="AI12" s="46"/>
    </row>
    <row r="13" spans="2:44">
      <c r="B13" s="272" t="s">
        <v>121</v>
      </c>
      <c r="C13" s="272" t="s">
        <v>122</v>
      </c>
      <c r="D13" s="272"/>
      <c r="E13" s="48">
        <v>300</v>
      </c>
      <c r="F13" s="48">
        <v>300</v>
      </c>
      <c r="G13" s="48">
        <v>500</v>
      </c>
      <c r="H13" s="48">
        <v>600</v>
      </c>
      <c r="I13" s="48">
        <v>720</v>
      </c>
      <c r="J13" s="48">
        <v>864</v>
      </c>
      <c r="K13" s="48">
        <v>1036.8</v>
      </c>
      <c r="L13" s="48">
        <v>1244.1599999999999</v>
      </c>
      <c r="M13" s="48">
        <v>1492.9919999999997</v>
      </c>
      <c r="N13" s="48">
        <v>1791.5903999999996</v>
      </c>
      <c r="O13" s="48">
        <v>2149.9084799999996</v>
      </c>
      <c r="P13" s="48">
        <v>2579.8901759999994</v>
      </c>
      <c r="Q13" s="48">
        <v>3095.8682111999992</v>
      </c>
      <c r="R13" s="48">
        <v>3715.0418534399987</v>
      </c>
      <c r="S13" s="48">
        <v>4458.0502241279983</v>
      </c>
      <c r="T13" s="48">
        <v>5349.6602689535976</v>
      </c>
      <c r="U13" s="46"/>
      <c r="V13" s="46"/>
      <c r="Y13" s="46"/>
      <c r="Z13" s="46"/>
      <c r="AA13" s="46"/>
      <c r="AB13" s="46"/>
      <c r="AC13" s="46"/>
      <c r="AD13" s="46"/>
      <c r="AE13" s="46"/>
      <c r="AF13" s="46"/>
      <c r="AG13" s="46"/>
      <c r="AH13" s="46"/>
      <c r="AI13" s="46"/>
    </row>
    <row r="14" spans="2:44">
      <c r="B14" s="272" t="s">
        <v>226</v>
      </c>
      <c r="C14" s="272" t="s">
        <v>122</v>
      </c>
      <c r="D14" s="272"/>
      <c r="E14" s="48">
        <v>150</v>
      </c>
      <c r="F14" s="48">
        <v>150</v>
      </c>
      <c r="G14" s="48">
        <v>200</v>
      </c>
      <c r="H14" s="48">
        <v>200</v>
      </c>
      <c r="I14" s="48">
        <v>200</v>
      </c>
      <c r="J14" s="48">
        <v>200</v>
      </c>
      <c r="K14" s="48">
        <v>200</v>
      </c>
      <c r="L14" s="48">
        <v>200</v>
      </c>
      <c r="M14" s="48">
        <v>200</v>
      </c>
      <c r="N14" s="48">
        <v>200</v>
      </c>
      <c r="O14" s="48">
        <v>200</v>
      </c>
      <c r="P14" s="48">
        <v>200</v>
      </c>
      <c r="Q14" s="48">
        <v>200</v>
      </c>
      <c r="R14" s="48">
        <v>200</v>
      </c>
      <c r="S14" s="48">
        <v>200</v>
      </c>
      <c r="T14" s="48">
        <v>200</v>
      </c>
      <c r="U14" s="46"/>
      <c r="V14" s="46"/>
    </row>
    <row r="15" spans="2:44">
      <c r="B15" s="272" t="s">
        <v>123</v>
      </c>
      <c r="C15" s="272" t="s">
        <v>122</v>
      </c>
      <c r="D15" s="272"/>
      <c r="E15" s="48">
        <v>0</v>
      </c>
      <c r="F15" s="272"/>
      <c r="G15" s="272"/>
      <c r="H15" s="272"/>
      <c r="I15" s="272"/>
      <c r="J15" s="48"/>
      <c r="K15" s="48"/>
      <c r="L15" s="48"/>
      <c r="M15" s="48"/>
      <c r="N15" s="48"/>
      <c r="O15" s="272"/>
      <c r="P15" s="272"/>
      <c r="Q15" s="272"/>
      <c r="R15" s="48">
        <v>4000</v>
      </c>
      <c r="S15" s="48">
        <v>5000</v>
      </c>
      <c r="T15" s="48"/>
      <c r="U15" s="46"/>
      <c r="V15" s="46"/>
      <c r="W15" s="46"/>
      <c r="X15" s="46"/>
      <c r="AJ15" s="46"/>
      <c r="AK15" s="46"/>
      <c r="AL15" s="46"/>
      <c r="AM15" s="46"/>
      <c r="AN15" s="46"/>
      <c r="AO15" s="46"/>
      <c r="AP15" s="46"/>
      <c r="AQ15" s="46"/>
      <c r="AR15" s="46"/>
    </row>
    <row r="16" spans="2:44">
      <c r="B16" s="272" t="s">
        <v>124</v>
      </c>
      <c r="C16" s="272" t="s">
        <v>122</v>
      </c>
      <c r="D16" s="290"/>
      <c r="E16" s="48">
        <v>0</v>
      </c>
      <c r="F16" s="48"/>
      <c r="G16" s="48"/>
      <c r="H16" s="48">
        <v>800</v>
      </c>
      <c r="I16" s="48"/>
      <c r="J16" s="48">
        <v>1200</v>
      </c>
      <c r="K16" s="48"/>
      <c r="L16" s="48">
        <v>1500</v>
      </c>
      <c r="M16" s="48"/>
      <c r="N16" s="48">
        <v>1800</v>
      </c>
      <c r="O16" s="48"/>
      <c r="P16" s="48">
        <v>2200</v>
      </c>
      <c r="Q16" s="48"/>
      <c r="R16" s="48">
        <v>3000</v>
      </c>
      <c r="S16" s="48"/>
      <c r="T16" s="48">
        <v>4000</v>
      </c>
      <c r="U16" s="46"/>
      <c r="V16" s="46"/>
      <c r="W16" s="46"/>
      <c r="X16" s="46"/>
      <c r="AJ16" s="46"/>
      <c r="AK16" s="46"/>
      <c r="AL16" s="46"/>
      <c r="AM16" s="46"/>
      <c r="AN16" s="46"/>
      <c r="AO16" s="46"/>
      <c r="AP16" s="46"/>
      <c r="AQ16" s="46"/>
      <c r="AR16" s="46"/>
    </row>
    <row r="17" spans="1:20" ht="30">
      <c r="A17" s="46"/>
      <c r="B17" s="272" t="s">
        <v>125</v>
      </c>
      <c r="C17" s="272"/>
      <c r="D17" s="290"/>
      <c r="E17" s="48">
        <v>250</v>
      </c>
      <c r="F17" s="48">
        <v>1000</v>
      </c>
      <c r="G17" s="48">
        <v>700</v>
      </c>
      <c r="H17" s="48">
        <v>500</v>
      </c>
      <c r="I17" s="48">
        <v>500</v>
      </c>
      <c r="J17" s="48">
        <v>500</v>
      </c>
      <c r="K17" s="48">
        <v>500</v>
      </c>
      <c r="L17" s="48">
        <v>500</v>
      </c>
      <c r="M17" s="48">
        <v>500</v>
      </c>
      <c r="N17" s="48">
        <v>500</v>
      </c>
      <c r="O17" s="48">
        <v>500</v>
      </c>
      <c r="P17" s="48">
        <v>1000</v>
      </c>
      <c r="Q17" s="48">
        <v>500</v>
      </c>
      <c r="R17" s="48">
        <v>1250</v>
      </c>
      <c r="S17" s="48">
        <v>500</v>
      </c>
      <c r="T17" s="48">
        <v>500</v>
      </c>
    </row>
    <row r="18" spans="1:20" ht="30">
      <c r="A18" s="46"/>
      <c r="B18" s="272" t="s">
        <v>126</v>
      </c>
      <c r="C18" s="272"/>
      <c r="D18" s="290"/>
      <c r="E18" s="48">
        <v>0</v>
      </c>
      <c r="F18" s="48"/>
      <c r="G18" s="48"/>
      <c r="H18" s="48"/>
      <c r="I18" s="48"/>
      <c r="J18" s="48"/>
      <c r="K18" s="48"/>
      <c r="L18" s="48"/>
      <c r="M18" s="48"/>
      <c r="N18" s="48"/>
      <c r="O18" s="48"/>
      <c r="P18" s="48"/>
      <c r="Q18" s="48"/>
      <c r="R18" s="48">
        <v>200</v>
      </c>
      <c r="S18" s="48">
        <v>2000</v>
      </c>
      <c r="T18" s="48">
        <v>2000</v>
      </c>
    </row>
    <row r="19" spans="1:20" ht="15.75" thickBot="1">
      <c r="A19" s="49"/>
      <c r="B19" s="270"/>
      <c r="C19" s="270"/>
      <c r="D19" s="291"/>
      <c r="E19" s="58">
        <f>+SUM(E5:E18)</f>
        <v>2710</v>
      </c>
      <c r="F19" s="58">
        <v>3460</v>
      </c>
      <c r="G19" s="58">
        <v>4460</v>
      </c>
      <c r="H19" s="58">
        <v>5160</v>
      </c>
      <c r="I19" s="58">
        <v>4780</v>
      </c>
      <c r="J19" s="58">
        <v>6124</v>
      </c>
      <c r="K19" s="58">
        <v>5096.8</v>
      </c>
      <c r="L19" s="58">
        <v>6804.16</v>
      </c>
      <c r="M19" s="58">
        <v>5552.9920000000002</v>
      </c>
      <c r="N19" s="58">
        <v>7651.5903999999991</v>
      </c>
      <c r="O19" s="58">
        <v>6569.9084800000001</v>
      </c>
      <c r="P19" s="58">
        <v>9039.890175999999</v>
      </c>
      <c r="Q19" s="58">
        <v>7515.8682111999988</v>
      </c>
      <c r="R19" s="58">
        <v>15425.041853439998</v>
      </c>
      <c r="S19" s="58">
        <v>15878.050224127997</v>
      </c>
      <c r="T19" s="58">
        <v>15769.660268953598</v>
      </c>
    </row>
    <row r="20" spans="1:20" ht="25.5" customHeight="1" thickTop="1">
      <c r="A20" s="46"/>
      <c r="B20" s="324" t="s">
        <v>10</v>
      </c>
      <c r="C20" s="324"/>
      <c r="D20" s="324"/>
      <c r="E20" s="320">
        <f>+E19+F19</f>
        <v>6170</v>
      </c>
      <c r="F20" s="320"/>
      <c r="G20" s="320">
        <v>9620</v>
      </c>
      <c r="H20" s="320"/>
      <c r="I20" s="320">
        <v>10904</v>
      </c>
      <c r="J20" s="320"/>
      <c r="K20" s="320">
        <v>11900.96</v>
      </c>
      <c r="L20" s="320"/>
      <c r="M20" s="320">
        <v>13204.582399999999</v>
      </c>
      <c r="N20" s="320"/>
      <c r="O20" s="320">
        <v>15609.798655999999</v>
      </c>
      <c r="P20" s="320"/>
      <c r="Q20" s="320">
        <v>22940.910064639997</v>
      </c>
      <c r="R20" s="320"/>
      <c r="S20" s="320">
        <v>31647.710493081595</v>
      </c>
      <c r="T20" s="320"/>
    </row>
    <row r="21" spans="1:20">
      <c r="A21" s="46"/>
      <c r="B21" s="46"/>
      <c r="C21" s="46"/>
      <c r="D21" s="46"/>
      <c r="E21" s="46"/>
      <c r="F21" s="46"/>
      <c r="G21" s="46"/>
      <c r="H21" s="137"/>
      <c r="I21" s="137"/>
      <c r="J21" s="137"/>
      <c r="K21" s="137"/>
      <c r="L21" s="137"/>
      <c r="M21" s="137"/>
      <c r="N21" s="137"/>
      <c r="O21" s="137"/>
      <c r="P21" s="137"/>
      <c r="Q21" s="137"/>
      <c r="R21" s="137"/>
      <c r="S21" s="137"/>
      <c r="T21" s="137"/>
    </row>
    <row r="22" spans="1:20">
      <c r="A22" s="46"/>
      <c r="B22" s="46"/>
      <c r="C22" s="46"/>
      <c r="D22" s="46"/>
      <c r="E22" s="46"/>
      <c r="F22" s="46"/>
      <c r="G22" s="52"/>
      <c r="H22" s="52"/>
      <c r="I22" s="52"/>
      <c r="J22" s="52"/>
      <c r="K22" s="52"/>
      <c r="L22" s="52"/>
      <c r="M22" s="52"/>
      <c r="N22" s="52"/>
      <c r="O22" s="46"/>
      <c r="P22" s="46"/>
      <c r="Q22" s="46"/>
      <c r="R22" s="46"/>
      <c r="S22" s="46"/>
      <c r="T22" s="46"/>
    </row>
    <row r="25" spans="1:20">
      <c r="A25" s="46"/>
      <c r="M25" s="53"/>
      <c r="N25" s="46"/>
      <c r="O25" s="46"/>
      <c r="P25" s="46"/>
      <c r="Q25" s="46"/>
      <c r="R25" s="46"/>
      <c r="S25" s="46"/>
      <c r="T25" s="46"/>
    </row>
    <row r="26" spans="1:20">
      <c r="A26" s="46"/>
      <c r="M26" s="53"/>
      <c r="N26" s="46"/>
      <c r="O26" s="46"/>
      <c r="P26" s="46"/>
      <c r="Q26" s="46"/>
      <c r="R26" s="46"/>
      <c r="S26" s="46"/>
      <c r="T26" s="46"/>
    </row>
    <row r="29" spans="1:20">
      <c r="A29" s="46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</row>
    <row r="31" spans="1:20">
      <c r="A31" s="46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</row>
    <row r="32" spans="1:20">
      <c r="A32" s="46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</row>
    <row r="33" spans="6:22"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53"/>
    </row>
    <row r="34" spans="6:22">
      <c r="F34" s="53"/>
      <c r="G34" s="53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</row>
    <row r="135" spans="2:23"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</row>
    <row r="136" spans="2:23">
      <c r="B136" s="50"/>
      <c r="C136" s="50"/>
      <c r="D136" s="50"/>
      <c r="E136" s="50"/>
      <c r="F136" s="50"/>
      <c r="G136" s="50"/>
      <c r="H136" s="50"/>
      <c r="I136" s="50"/>
      <c r="J136" s="50"/>
      <c r="K136" s="50"/>
      <c r="L136" s="50"/>
      <c r="M136" s="50"/>
      <c r="N136" s="50"/>
      <c r="O136" s="50"/>
      <c r="P136" s="50"/>
      <c r="Q136" s="50"/>
      <c r="R136" s="50"/>
      <c r="S136" s="50"/>
      <c r="T136" s="50"/>
      <c r="U136" s="50"/>
      <c r="V136" s="50"/>
      <c r="W136" s="50"/>
    </row>
    <row r="137" spans="2:23">
      <c r="B137" s="321" t="s">
        <v>101</v>
      </c>
      <c r="C137" s="321" t="s">
        <v>102</v>
      </c>
      <c r="D137" s="46"/>
      <c r="E137" s="57"/>
      <c r="F137" s="57"/>
      <c r="G137" s="322" t="s">
        <v>90</v>
      </c>
      <c r="H137" s="322"/>
      <c r="I137" s="322" t="s">
        <v>91</v>
      </c>
      <c r="J137" s="322"/>
      <c r="K137" s="64"/>
      <c r="L137" s="322" t="s">
        <v>92</v>
      </c>
      <c r="M137" s="322"/>
      <c r="N137" s="322" t="s">
        <v>93</v>
      </c>
      <c r="O137" s="322"/>
      <c r="P137" s="322" t="s">
        <v>94</v>
      </c>
      <c r="Q137" s="322"/>
      <c r="R137" s="322" t="s">
        <v>95</v>
      </c>
      <c r="S137" s="322"/>
      <c r="T137" s="322" t="s">
        <v>96</v>
      </c>
      <c r="U137" s="322"/>
      <c r="V137" s="322" t="s">
        <v>97</v>
      </c>
      <c r="W137" s="322"/>
    </row>
    <row r="138" spans="2:23" ht="30">
      <c r="B138" s="321"/>
      <c r="C138" s="321"/>
      <c r="D138" s="46"/>
      <c r="E138" s="57"/>
      <c r="F138" s="65" t="s">
        <v>105</v>
      </c>
      <c r="G138" s="57" t="s">
        <v>106</v>
      </c>
      <c r="H138" s="57" t="s">
        <v>1</v>
      </c>
      <c r="I138" s="57" t="s">
        <v>106</v>
      </c>
      <c r="J138" s="57" t="s">
        <v>1</v>
      </c>
      <c r="K138" s="65" t="s">
        <v>105</v>
      </c>
      <c r="L138" s="57" t="s">
        <v>106</v>
      </c>
      <c r="M138" s="57" t="s">
        <v>1</v>
      </c>
      <c r="N138" s="57" t="s">
        <v>106</v>
      </c>
      <c r="O138" s="57" t="s">
        <v>1</v>
      </c>
      <c r="P138" s="57" t="s">
        <v>106</v>
      </c>
      <c r="Q138" s="57" t="s">
        <v>1</v>
      </c>
      <c r="R138" s="57" t="s">
        <v>106</v>
      </c>
      <c r="S138" s="57" t="s">
        <v>1</v>
      </c>
      <c r="T138" s="57" t="s">
        <v>106</v>
      </c>
      <c r="U138" s="57" t="s">
        <v>1</v>
      </c>
      <c r="V138" s="57" t="s">
        <v>106</v>
      </c>
      <c r="W138" s="57" t="s">
        <v>1</v>
      </c>
    </row>
    <row r="139" spans="2:23" ht="45.75" thickBot="1">
      <c r="B139" s="59">
        <v>900</v>
      </c>
      <c r="C139" s="60">
        <v>75</v>
      </c>
      <c r="D139" s="46"/>
      <c r="E139" s="54" t="s">
        <v>108</v>
      </c>
      <c r="F139" s="61">
        <v>29.5</v>
      </c>
      <c r="G139" s="48">
        <v>26550</v>
      </c>
      <c r="H139" s="62">
        <v>900</v>
      </c>
      <c r="I139" s="48">
        <v>26550</v>
      </c>
      <c r="J139" s="62">
        <v>900</v>
      </c>
      <c r="K139" s="63">
        <v>31.5</v>
      </c>
      <c r="L139" s="48">
        <v>28350</v>
      </c>
      <c r="M139" s="62">
        <v>900</v>
      </c>
      <c r="N139" s="48">
        <v>28350</v>
      </c>
      <c r="O139" s="62">
        <v>900</v>
      </c>
      <c r="P139" s="48">
        <v>28350</v>
      </c>
      <c r="Q139" s="62">
        <v>900</v>
      </c>
      <c r="R139" s="48">
        <v>28350</v>
      </c>
      <c r="S139" s="62">
        <v>900</v>
      </c>
      <c r="T139" s="48">
        <v>28350</v>
      </c>
      <c r="U139" s="62">
        <v>900</v>
      </c>
      <c r="V139" s="48">
        <v>28350</v>
      </c>
      <c r="W139" s="62">
        <v>900</v>
      </c>
    </row>
    <row r="140" spans="2:23" ht="30.75" thickTop="1">
      <c r="B140" s="46"/>
      <c r="C140" s="46"/>
      <c r="D140" s="46"/>
      <c r="E140" s="54" t="s">
        <v>110</v>
      </c>
      <c r="F140" s="61">
        <v>29.5</v>
      </c>
      <c r="G140" s="55">
        <v>59000</v>
      </c>
      <c r="H140" s="62">
        <v>2000</v>
      </c>
      <c r="I140" s="55">
        <v>129800.00000000001</v>
      </c>
      <c r="J140" s="62">
        <v>4400.0000000000009</v>
      </c>
      <c r="K140" s="63">
        <v>31.5</v>
      </c>
      <c r="L140" s="55">
        <v>152460.00000000003</v>
      </c>
      <c r="M140" s="62">
        <v>4840.0000000000009</v>
      </c>
      <c r="N140" s="55">
        <v>167706.00000000006</v>
      </c>
      <c r="O140" s="62">
        <v>5324.0000000000018</v>
      </c>
      <c r="P140" s="55">
        <v>184476.60000000009</v>
      </c>
      <c r="Q140" s="56">
        <v>5856.4000000000033</v>
      </c>
      <c r="R140" s="55">
        <v>202924.26000000013</v>
      </c>
      <c r="S140" s="56">
        <v>6442.0400000000036</v>
      </c>
      <c r="T140" s="55">
        <v>223216.68600000016</v>
      </c>
      <c r="U140" s="56">
        <v>7086.2440000000051</v>
      </c>
      <c r="V140" s="55">
        <v>245538.3546000002</v>
      </c>
      <c r="W140" s="56">
        <v>7794.8684000000057</v>
      </c>
    </row>
    <row r="141" spans="2:23" ht="15.75" thickBot="1">
      <c r="B141" s="46"/>
      <c r="C141" s="46"/>
      <c r="D141" s="46"/>
      <c r="E141" s="334" t="s">
        <v>113</v>
      </c>
      <c r="F141" s="334"/>
      <c r="G141" s="333">
        <v>3460</v>
      </c>
      <c r="H141" s="333"/>
      <c r="I141" s="333">
        <v>9620</v>
      </c>
      <c r="J141" s="333"/>
      <c r="K141" s="66"/>
      <c r="L141" s="333">
        <v>10904</v>
      </c>
      <c r="M141" s="333"/>
      <c r="N141" s="333">
        <v>11900.96</v>
      </c>
      <c r="O141" s="333"/>
      <c r="P141" s="333">
        <v>13204.582399999999</v>
      </c>
      <c r="Q141" s="333"/>
      <c r="R141" s="333">
        <v>15609.798655999999</v>
      </c>
      <c r="S141" s="333"/>
      <c r="T141" s="333">
        <v>22940.910064639997</v>
      </c>
      <c r="U141" s="333"/>
      <c r="V141" s="333">
        <v>31647.710493081595</v>
      </c>
      <c r="W141" s="333"/>
    </row>
    <row r="142" spans="2:23" ht="16.5" thickTop="1" thickBot="1">
      <c r="B142" s="46"/>
      <c r="C142" s="46"/>
      <c r="D142" s="46"/>
      <c r="E142" s="319" t="s">
        <v>115</v>
      </c>
      <c r="F142" s="319"/>
      <c r="G142" s="67">
        <v>32450</v>
      </c>
      <c r="H142" s="68">
        <v>1100</v>
      </c>
      <c r="I142" s="67">
        <v>103250.00000000001</v>
      </c>
      <c r="J142" s="68">
        <v>3500.0000000000009</v>
      </c>
      <c r="K142" s="69"/>
      <c r="L142" s="67">
        <v>124110.00000000003</v>
      </c>
      <c r="M142" s="68">
        <v>3940.0000000000009</v>
      </c>
      <c r="N142" s="67">
        <v>139356.00000000006</v>
      </c>
      <c r="O142" s="68">
        <v>4424.0000000000018</v>
      </c>
      <c r="P142" s="67">
        <v>156126.60000000009</v>
      </c>
      <c r="Q142" s="72">
        <v>4956.4000000000033</v>
      </c>
      <c r="R142" s="67">
        <v>174574.26000000013</v>
      </c>
      <c r="S142" s="72">
        <v>5542.0400000000036</v>
      </c>
      <c r="T142" s="67">
        <v>194866.68600000016</v>
      </c>
      <c r="U142" s="72">
        <v>6186.2440000000051</v>
      </c>
      <c r="V142" s="67">
        <v>217188.3546000002</v>
      </c>
      <c r="W142" s="72">
        <v>6894.8684000000057</v>
      </c>
    </row>
    <row r="143" spans="2:23" ht="15.75" thickTop="1">
      <c r="B143" s="46"/>
      <c r="C143" s="46"/>
      <c r="D143" s="46"/>
      <c r="E143" s="318" t="s">
        <v>118</v>
      </c>
      <c r="F143" s="318"/>
      <c r="G143" s="70">
        <v>0.10662557781201849</v>
      </c>
      <c r="H143" s="70"/>
      <c r="I143" s="70">
        <v>9.3171912832929762E-2</v>
      </c>
      <c r="J143" s="70"/>
      <c r="K143" s="70"/>
      <c r="L143" s="70">
        <v>8.7857545725566005E-2</v>
      </c>
      <c r="M143" s="70"/>
      <c r="N143" s="70">
        <v>8.5399695743276174E-2</v>
      </c>
      <c r="O143" s="70"/>
      <c r="P143" s="70">
        <v>8.4576122198267253E-2</v>
      </c>
      <c r="Q143" s="70"/>
      <c r="R143" s="70">
        <v>8.9416381636101383E-2</v>
      </c>
      <c r="S143" s="70"/>
      <c r="T143" s="70">
        <v>0.1177261774988054</v>
      </c>
      <c r="U143" s="70"/>
      <c r="V143" s="70">
        <v>0.14571550372195494</v>
      </c>
      <c r="W143" s="71"/>
    </row>
    <row r="144" spans="2:23"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</row>
    <row r="145" spans="2:23"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</row>
    <row r="146" spans="2:23"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</row>
    <row r="147" spans="2:23"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</row>
  </sheetData>
  <mergeCells count="48">
    <mergeCell ref="B2:T2"/>
    <mergeCell ref="G141:H141"/>
    <mergeCell ref="E141:F141"/>
    <mergeCell ref="T141:U141"/>
    <mergeCell ref="V141:W141"/>
    <mergeCell ref="I141:J141"/>
    <mergeCell ref="L141:M141"/>
    <mergeCell ref="N141:O141"/>
    <mergeCell ref="P141:Q141"/>
    <mergeCell ref="R141:S141"/>
    <mergeCell ref="Q3:R3"/>
    <mergeCell ref="S3:T3"/>
    <mergeCell ref="B5:B7"/>
    <mergeCell ref="V137:W137"/>
    <mergeCell ref="P137:Q137"/>
    <mergeCell ref="R137:S137"/>
    <mergeCell ref="E3:F3"/>
    <mergeCell ref="G3:H3"/>
    <mergeCell ref="I3:J3"/>
    <mergeCell ref="S20:T20"/>
    <mergeCell ref="Q20:R20"/>
    <mergeCell ref="Y9:AA9"/>
    <mergeCell ref="Y7:AA7"/>
    <mergeCell ref="T137:U137"/>
    <mergeCell ref="K3:L3"/>
    <mergeCell ref="M3:N3"/>
    <mergeCell ref="O3:P3"/>
    <mergeCell ref="Y8:AA8"/>
    <mergeCell ref="Y11:AA11"/>
    <mergeCell ref="Y10:AA10"/>
    <mergeCell ref="Y5:AI5"/>
    <mergeCell ref="B137:B138"/>
    <mergeCell ref="C137:C138"/>
    <mergeCell ref="N137:O137"/>
    <mergeCell ref="B4:C4"/>
    <mergeCell ref="B20:D20"/>
    <mergeCell ref="G137:H137"/>
    <mergeCell ref="I137:J137"/>
    <mergeCell ref="L137:M137"/>
    <mergeCell ref="E20:F20"/>
    <mergeCell ref="B10:B12"/>
    <mergeCell ref="M20:N20"/>
    <mergeCell ref="O20:P20"/>
    <mergeCell ref="E143:F143"/>
    <mergeCell ref="E142:F142"/>
    <mergeCell ref="G20:H20"/>
    <mergeCell ref="I20:J20"/>
    <mergeCell ref="K20:L20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B3:D11"/>
  <sheetViews>
    <sheetView showGridLines="0" workbookViewId="0">
      <selection activeCell="D15" sqref="D15"/>
    </sheetView>
  </sheetViews>
  <sheetFormatPr baseColWidth="10" defaultRowHeight="15"/>
  <cols>
    <col min="3" max="3" width="21.28515625" bestFit="1" customWidth="1"/>
    <col min="4" max="4" width="38.140625" customWidth="1"/>
  </cols>
  <sheetData>
    <row r="3" spans="2:4">
      <c r="B3" s="120"/>
      <c r="C3" s="120" t="s">
        <v>276</v>
      </c>
      <c r="D3" s="120" t="s">
        <v>163</v>
      </c>
    </row>
    <row r="4" spans="2:4">
      <c r="B4" s="120">
        <v>2014</v>
      </c>
      <c r="C4" s="121">
        <v>18.5</v>
      </c>
      <c r="D4" s="119" t="s">
        <v>162</v>
      </c>
    </row>
    <row r="5" spans="2:4">
      <c r="B5" s="120">
        <v>2015</v>
      </c>
      <c r="C5" s="121">
        <v>21.5</v>
      </c>
      <c r="D5" s="119" t="s">
        <v>165</v>
      </c>
    </row>
    <row r="6" spans="2:4">
      <c r="B6" s="120">
        <v>2016</v>
      </c>
      <c r="C6" s="121">
        <v>23.5</v>
      </c>
      <c r="D6" s="119" t="s">
        <v>164</v>
      </c>
    </row>
    <row r="7" spans="2:4">
      <c r="B7" s="120">
        <v>2017</v>
      </c>
      <c r="C7" s="121">
        <v>23.5</v>
      </c>
      <c r="D7" s="119" t="s">
        <v>166</v>
      </c>
    </row>
    <row r="8" spans="2:4">
      <c r="B8" s="120">
        <v>2018</v>
      </c>
      <c r="C8" s="121">
        <v>25.5</v>
      </c>
      <c r="D8" s="119" t="s">
        <v>167</v>
      </c>
    </row>
    <row r="9" spans="2:4">
      <c r="B9" s="120">
        <v>2019</v>
      </c>
      <c r="C9" s="121">
        <v>25.5</v>
      </c>
      <c r="D9" s="119" t="s">
        <v>168</v>
      </c>
    </row>
    <row r="10" spans="2:4">
      <c r="B10" s="120">
        <v>2020</v>
      </c>
      <c r="C10" s="121">
        <v>27.5</v>
      </c>
      <c r="D10" s="119" t="s">
        <v>169</v>
      </c>
    </row>
    <row r="11" spans="2:4">
      <c r="B11" s="120">
        <v>2021</v>
      </c>
      <c r="C11" s="121">
        <v>27.5</v>
      </c>
      <c r="D11" s="119" t="s">
        <v>170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Z100"/>
  <sheetViews>
    <sheetView showGridLines="0" topLeftCell="A101" workbookViewId="0">
      <selection activeCell="D7" sqref="D7"/>
    </sheetView>
  </sheetViews>
  <sheetFormatPr baseColWidth="10" defaultColWidth="12.28515625" defaultRowHeight="15"/>
  <cols>
    <col min="1" max="1" width="15.28515625" style="49" customWidth="1"/>
    <col min="2" max="2" width="27.85546875" style="49" customWidth="1"/>
    <col min="3" max="16384" width="12.28515625" style="49"/>
  </cols>
  <sheetData>
    <row r="1" spans="1:26" ht="15.75" thickBot="1">
      <c r="G1" s="163"/>
      <c r="H1" s="164"/>
      <c r="J1" s="163"/>
      <c r="K1" s="164"/>
      <c r="M1" s="163"/>
      <c r="N1" s="164"/>
      <c r="P1" s="163"/>
      <c r="Q1" s="164"/>
      <c r="S1" s="163"/>
      <c r="T1" s="164"/>
      <c r="V1" s="163"/>
      <c r="W1" s="164"/>
      <c r="Y1" s="163"/>
      <c r="Z1" s="164"/>
    </row>
    <row r="2" spans="1:26" ht="28.5">
      <c r="A2" s="163"/>
      <c r="B2" s="192"/>
      <c r="C2" s="192"/>
      <c r="D2" s="338">
        <v>2014</v>
      </c>
      <c r="E2" s="339"/>
      <c r="F2" s="192"/>
      <c r="G2" s="338">
        <v>2015</v>
      </c>
      <c r="H2" s="339"/>
      <c r="I2" s="192"/>
      <c r="J2" s="338">
        <v>2016</v>
      </c>
      <c r="K2" s="339"/>
      <c r="L2" s="192"/>
      <c r="M2" s="338">
        <v>2017</v>
      </c>
      <c r="N2" s="339"/>
      <c r="O2" s="192"/>
      <c r="P2" s="338">
        <v>2018</v>
      </c>
      <c r="Q2" s="339"/>
      <c r="R2" s="192"/>
      <c r="S2" s="338">
        <v>2019</v>
      </c>
      <c r="T2" s="339"/>
      <c r="U2" s="192"/>
      <c r="V2" s="338">
        <v>2020</v>
      </c>
      <c r="W2" s="339"/>
      <c r="X2" s="192"/>
      <c r="Y2" s="338">
        <v>2021</v>
      </c>
      <c r="Z2" s="339"/>
    </row>
    <row r="3" spans="1:26">
      <c r="A3" s="335" t="s">
        <v>209</v>
      </c>
      <c r="B3" s="324"/>
      <c r="C3" s="159"/>
      <c r="D3" s="165"/>
      <c r="E3" s="166"/>
      <c r="F3" s="130"/>
      <c r="G3" s="165"/>
      <c r="H3" s="166"/>
      <c r="I3" s="130"/>
      <c r="J3" s="165"/>
      <c r="K3" s="166"/>
      <c r="L3" s="130"/>
      <c r="M3" s="165"/>
      <c r="N3" s="166"/>
      <c r="O3" s="130"/>
      <c r="P3" s="165"/>
      <c r="Q3" s="166"/>
      <c r="R3" s="130"/>
      <c r="S3" s="165"/>
      <c r="T3" s="166"/>
      <c r="U3" s="130"/>
      <c r="V3" s="165"/>
      <c r="W3" s="166"/>
      <c r="X3" s="130"/>
      <c r="Y3" s="165"/>
      <c r="Z3" s="166"/>
    </row>
    <row r="4" spans="1:26">
      <c r="A4" s="165" t="s">
        <v>172</v>
      </c>
      <c r="B4" s="130"/>
      <c r="C4" s="130"/>
      <c r="D4" s="167">
        <v>85000</v>
      </c>
      <c r="E4" s="166"/>
      <c r="F4" s="130"/>
      <c r="G4" s="167">
        <v>0</v>
      </c>
      <c r="H4" s="166"/>
      <c r="I4" s="130"/>
      <c r="J4" s="167">
        <v>0</v>
      </c>
      <c r="K4" s="166"/>
      <c r="L4" s="130"/>
      <c r="M4" s="167">
        <v>0</v>
      </c>
      <c r="N4" s="166"/>
      <c r="O4" s="130"/>
      <c r="P4" s="167">
        <v>0</v>
      </c>
      <c r="Q4" s="166"/>
      <c r="R4" s="130"/>
      <c r="S4" s="167">
        <v>0</v>
      </c>
      <c r="T4" s="166"/>
      <c r="U4" s="130"/>
      <c r="V4" s="167">
        <v>0</v>
      </c>
      <c r="W4" s="166"/>
      <c r="X4" s="130"/>
      <c r="Y4" s="167">
        <v>0</v>
      </c>
      <c r="Z4" s="166"/>
    </row>
    <row r="5" spans="1:26">
      <c r="A5" s="165"/>
      <c r="B5" s="130" t="s">
        <v>183</v>
      </c>
      <c r="C5" s="130"/>
      <c r="D5" s="165"/>
      <c r="E5" s="169">
        <f>+D4</f>
        <v>85000</v>
      </c>
      <c r="F5" s="193"/>
      <c r="G5" s="168"/>
      <c r="H5" s="169">
        <f>+G5</f>
        <v>0</v>
      </c>
      <c r="I5" s="193"/>
      <c r="J5" s="168"/>
      <c r="K5" s="169">
        <f>+J5</f>
        <v>0</v>
      </c>
      <c r="L5" s="193"/>
      <c r="M5" s="168"/>
      <c r="N5" s="169">
        <f>+M5</f>
        <v>0</v>
      </c>
      <c r="O5" s="193"/>
      <c r="P5" s="168"/>
      <c r="Q5" s="169">
        <f>+P5</f>
        <v>0</v>
      </c>
      <c r="R5" s="193"/>
      <c r="S5" s="168"/>
      <c r="T5" s="169">
        <f>+S5</f>
        <v>0</v>
      </c>
      <c r="U5" s="193"/>
      <c r="V5" s="168"/>
      <c r="W5" s="169">
        <f>+V5</f>
        <v>0</v>
      </c>
      <c r="X5" s="193"/>
      <c r="Y5" s="168"/>
      <c r="Z5" s="169">
        <f>+Y5</f>
        <v>0</v>
      </c>
    </row>
    <row r="6" spans="1:26">
      <c r="A6" s="165"/>
      <c r="B6" s="130"/>
      <c r="C6" s="130"/>
      <c r="D6" s="165"/>
      <c r="E6" s="166"/>
      <c r="F6" s="130"/>
      <c r="G6" s="165"/>
      <c r="H6" s="166"/>
      <c r="I6" s="130"/>
      <c r="J6" s="165"/>
      <c r="K6" s="166"/>
      <c r="L6" s="130"/>
      <c r="M6" s="165"/>
      <c r="N6" s="166"/>
      <c r="O6" s="130"/>
      <c r="P6" s="165"/>
      <c r="Q6" s="166"/>
      <c r="R6" s="130"/>
      <c r="S6" s="165"/>
      <c r="T6" s="166"/>
      <c r="U6" s="130"/>
      <c r="V6" s="165"/>
      <c r="W6" s="166"/>
      <c r="X6" s="130"/>
      <c r="Y6" s="165"/>
      <c r="Z6" s="166"/>
    </row>
    <row r="7" spans="1:26">
      <c r="A7" s="165"/>
      <c r="B7" s="130"/>
      <c r="C7" s="130"/>
      <c r="D7" s="165"/>
      <c r="E7" s="166"/>
      <c r="F7" s="130"/>
      <c r="G7" s="165"/>
      <c r="H7" s="166"/>
      <c r="I7" s="130"/>
      <c r="J7" s="165"/>
      <c r="K7" s="166"/>
      <c r="L7" s="130"/>
      <c r="M7" s="165"/>
      <c r="N7" s="166"/>
      <c r="O7" s="130"/>
      <c r="P7" s="165"/>
      <c r="Q7" s="166"/>
      <c r="R7" s="130"/>
      <c r="S7" s="165"/>
      <c r="T7" s="166"/>
      <c r="U7" s="130"/>
      <c r="V7" s="165"/>
      <c r="W7" s="166"/>
      <c r="X7" s="130"/>
      <c r="Y7" s="165"/>
      <c r="Z7" s="166"/>
    </row>
    <row r="8" spans="1:26">
      <c r="A8" s="335" t="s">
        <v>210</v>
      </c>
      <c r="B8" s="324"/>
      <c r="C8" s="159"/>
      <c r="D8" s="165"/>
      <c r="E8" s="166"/>
      <c r="F8" s="130"/>
      <c r="G8" s="165"/>
      <c r="H8" s="166"/>
      <c r="I8" s="130"/>
      <c r="J8" s="165"/>
      <c r="K8" s="166"/>
      <c r="L8" s="130"/>
      <c r="M8" s="165"/>
      <c r="N8" s="166"/>
      <c r="O8" s="130"/>
      <c r="P8" s="165"/>
      <c r="Q8" s="166"/>
      <c r="R8" s="130"/>
      <c r="S8" s="165"/>
      <c r="T8" s="166"/>
      <c r="U8" s="130"/>
      <c r="V8" s="165"/>
      <c r="W8" s="166"/>
      <c r="X8" s="130"/>
      <c r="Y8" s="165"/>
      <c r="Z8" s="166"/>
    </row>
    <row r="9" spans="1:26">
      <c r="A9" s="165" t="s">
        <v>183</v>
      </c>
      <c r="B9" s="130"/>
      <c r="C9" s="130"/>
      <c r="D9" s="168">
        <f>+MAYORIZACIÓN!H7</f>
        <v>6712.5513147645288</v>
      </c>
      <c r="E9" s="166"/>
      <c r="F9" s="130"/>
      <c r="G9" s="168">
        <f>+MAYORIZACIÓN!F16</f>
        <v>14219.197450065702</v>
      </c>
      <c r="H9" s="166"/>
      <c r="I9" s="130"/>
      <c r="J9" s="168">
        <f>+MAYORIZACIÓN!G16</f>
        <v>15901.328508408475</v>
      </c>
      <c r="K9" s="166"/>
      <c r="L9" s="130"/>
      <c r="M9" s="168">
        <f>+MAYORIZACIÓN!H16</f>
        <v>17782.455670953197</v>
      </c>
      <c r="N9" s="166"/>
      <c r="O9" s="130"/>
      <c r="P9" s="168">
        <f>+MAYORIZACIÓN!I16</f>
        <v>19886.12017682696</v>
      </c>
      <c r="Q9" s="166"/>
      <c r="R9" s="130"/>
      <c r="S9" s="168">
        <f>+MAYORIZACIÓN!J16</f>
        <v>10498.346878981059</v>
      </c>
      <c r="T9" s="166"/>
      <c r="U9" s="130"/>
      <c r="V9" s="168">
        <v>0</v>
      </c>
      <c r="W9" s="166"/>
      <c r="X9" s="130"/>
      <c r="Y9" s="168">
        <v>0</v>
      </c>
      <c r="Z9" s="166"/>
    </row>
    <row r="10" spans="1:26">
      <c r="A10" s="165" t="s">
        <v>182</v>
      </c>
      <c r="B10" s="130"/>
      <c r="C10" s="130"/>
      <c r="D10" s="168">
        <f>+MAYORIZACIÓN!E17</f>
        <v>5027.75</v>
      </c>
      <c r="E10" s="166"/>
      <c r="F10" s="130"/>
      <c r="G10" s="168">
        <f>+MAYORIZACIÓN!F17</f>
        <v>9261.405179463356</v>
      </c>
      <c r="H10" s="166"/>
      <c r="I10" s="130"/>
      <c r="J10" s="168">
        <f>+MAYORIZACIÓN!G17</f>
        <v>7579.2741211205839</v>
      </c>
      <c r="K10" s="166"/>
      <c r="L10" s="130"/>
      <c r="M10" s="168">
        <f>+MAYORIZACIÓN!H17</f>
        <v>5698.1469585758623</v>
      </c>
      <c r="N10" s="166"/>
      <c r="O10" s="130"/>
      <c r="P10" s="168">
        <f>+MAYORIZACIÓN!I17</f>
        <v>3594.4824527020987</v>
      </c>
      <c r="Q10" s="166"/>
      <c r="R10" s="130"/>
      <c r="S10" s="168">
        <f>+MAYORIZACIÓN!J17</f>
        <v>1241.9544357834695</v>
      </c>
      <c r="T10" s="166"/>
      <c r="U10" s="130"/>
      <c r="V10" s="168">
        <v>0</v>
      </c>
      <c r="W10" s="166"/>
      <c r="X10" s="130"/>
      <c r="Y10" s="168">
        <v>0</v>
      </c>
      <c r="Z10" s="166"/>
    </row>
    <row r="11" spans="1:26">
      <c r="A11" s="165"/>
      <c r="B11" s="130" t="s">
        <v>184</v>
      </c>
      <c r="C11" s="130"/>
      <c r="D11" s="165"/>
      <c r="E11" s="170">
        <f>+D10</f>
        <v>5027.75</v>
      </c>
      <c r="F11" s="55"/>
      <c r="G11" s="165"/>
      <c r="H11" s="170">
        <f>+G10</f>
        <v>9261.405179463356</v>
      </c>
      <c r="I11" s="55"/>
      <c r="J11" s="167"/>
      <c r="K11" s="170">
        <f>+J10</f>
        <v>7579.2741211205839</v>
      </c>
      <c r="L11" s="55"/>
      <c r="M11" s="167"/>
      <c r="N11" s="170">
        <f>+M10</f>
        <v>5698.1469585758623</v>
      </c>
      <c r="O11" s="55"/>
      <c r="P11" s="167"/>
      <c r="Q11" s="170">
        <f>+P10</f>
        <v>3594.4824527020987</v>
      </c>
      <c r="R11" s="55"/>
      <c r="S11" s="167"/>
      <c r="T11" s="170">
        <f>+S10</f>
        <v>1241.9544357834695</v>
      </c>
      <c r="U11" s="55"/>
      <c r="V11" s="167"/>
      <c r="W11" s="170">
        <v>0</v>
      </c>
      <c r="X11" s="55"/>
      <c r="Y11" s="167"/>
      <c r="Z11" s="170">
        <v>0</v>
      </c>
    </row>
    <row r="12" spans="1:26">
      <c r="A12" s="165"/>
      <c r="B12" s="130" t="s">
        <v>184</v>
      </c>
      <c r="C12" s="130"/>
      <c r="D12" s="165"/>
      <c r="E12" s="170">
        <f>+D9</f>
        <v>6712.5513147645288</v>
      </c>
      <c r="F12" s="55"/>
      <c r="G12" s="165"/>
      <c r="H12" s="170">
        <f>+G9</f>
        <v>14219.197450065702</v>
      </c>
      <c r="I12" s="55"/>
      <c r="J12" s="167"/>
      <c r="K12" s="170">
        <f>+J9</f>
        <v>15901.328508408475</v>
      </c>
      <c r="L12" s="55"/>
      <c r="M12" s="167"/>
      <c r="N12" s="170">
        <f>+M9</f>
        <v>17782.455670953197</v>
      </c>
      <c r="O12" s="55"/>
      <c r="P12" s="167"/>
      <c r="Q12" s="170">
        <f>+P9</f>
        <v>19886.12017682696</v>
      </c>
      <c r="R12" s="55"/>
      <c r="S12" s="167"/>
      <c r="T12" s="170">
        <f>+S9</f>
        <v>10498.346878981059</v>
      </c>
      <c r="U12" s="55"/>
      <c r="V12" s="167"/>
      <c r="W12" s="170">
        <v>0</v>
      </c>
      <c r="X12" s="55"/>
      <c r="Y12" s="167"/>
      <c r="Z12" s="170">
        <v>0</v>
      </c>
    </row>
    <row r="13" spans="1:26">
      <c r="A13" s="165"/>
      <c r="B13" s="130"/>
      <c r="C13" s="130"/>
      <c r="D13" s="165"/>
      <c r="E13" s="166"/>
      <c r="F13" s="130"/>
      <c r="G13" s="165"/>
      <c r="H13" s="166"/>
      <c r="I13" s="130"/>
      <c r="J13" s="165"/>
      <c r="K13" s="166"/>
      <c r="L13" s="130"/>
      <c r="M13" s="165"/>
      <c r="N13" s="166"/>
      <c r="O13" s="130"/>
      <c r="P13" s="165"/>
      <c r="Q13" s="166"/>
      <c r="R13" s="130"/>
      <c r="S13" s="165"/>
      <c r="T13" s="166"/>
      <c r="U13" s="130"/>
      <c r="V13" s="165"/>
      <c r="W13" s="166"/>
      <c r="X13" s="130"/>
      <c r="Y13" s="165"/>
      <c r="Z13" s="166"/>
    </row>
    <row r="14" spans="1:26">
      <c r="A14" s="335" t="s">
        <v>263</v>
      </c>
      <c r="B14" s="324"/>
      <c r="C14" s="159"/>
      <c r="D14" s="165"/>
      <c r="E14" s="166"/>
      <c r="F14" s="130"/>
      <c r="G14" s="165"/>
      <c r="H14" s="166"/>
      <c r="I14" s="130"/>
      <c r="J14" s="165"/>
      <c r="K14" s="166"/>
      <c r="L14" s="130"/>
      <c r="M14" s="165"/>
      <c r="N14" s="166"/>
      <c r="O14" s="130"/>
      <c r="P14" s="165"/>
      <c r="Q14" s="166"/>
      <c r="R14" s="130"/>
      <c r="S14" s="165"/>
      <c r="T14" s="166"/>
      <c r="U14" s="130"/>
      <c r="V14" s="165"/>
      <c r="W14" s="166"/>
      <c r="X14" s="130"/>
      <c r="Y14" s="165"/>
      <c r="Z14" s="166"/>
    </row>
    <row r="15" spans="1:26">
      <c r="A15" s="165" t="s">
        <v>184</v>
      </c>
      <c r="B15" s="130"/>
      <c r="C15" s="130"/>
      <c r="D15" s="168">
        <v>15000</v>
      </c>
      <c r="E15" s="166"/>
      <c r="F15" s="130"/>
      <c r="G15" s="167">
        <v>0</v>
      </c>
      <c r="H15" s="166"/>
      <c r="I15" s="130"/>
      <c r="J15" s="167">
        <v>0</v>
      </c>
      <c r="K15" s="166"/>
      <c r="L15" s="130"/>
      <c r="M15" s="167">
        <v>0</v>
      </c>
      <c r="N15" s="166"/>
      <c r="O15" s="130"/>
      <c r="P15" s="167">
        <v>0</v>
      </c>
      <c r="Q15" s="166"/>
      <c r="R15" s="130"/>
      <c r="S15" s="167">
        <v>0</v>
      </c>
      <c r="T15" s="166"/>
      <c r="U15" s="130"/>
      <c r="V15" s="167">
        <v>0</v>
      </c>
      <c r="W15" s="166"/>
      <c r="X15" s="130"/>
      <c r="Y15" s="167">
        <v>0</v>
      </c>
      <c r="Z15" s="166"/>
    </row>
    <row r="16" spans="1:26">
      <c r="A16" s="165"/>
      <c r="B16" s="130" t="s">
        <v>211</v>
      </c>
      <c r="C16" s="130"/>
      <c r="D16" s="168"/>
      <c r="E16" s="169">
        <f>+D15</f>
        <v>15000</v>
      </c>
      <c r="F16" s="130"/>
      <c r="G16" s="168"/>
      <c r="H16" s="169">
        <f>+G16</f>
        <v>0</v>
      </c>
      <c r="I16" s="130"/>
      <c r="J16" s="168"/>
      <c r="K16" s="169">
        <f>+J16</f>
        <v>0</v>
      </c>
      <c r="L16" s="130"/>
      <c r="M16" s="168"/>
      <c r="N16" s="169">
        <f>+M16</f>
        <v>0</v>
      </c>
      <c r="O16" s="130"/>
      <c r="P16" s="168"/>
      <c r="Q16" s="169">
        <f>+P16</f>
        <v>0</v>
      </c>
      <c r="R16" s="130"/>
      <c r="S16" s="168"/>
      <c r="T16" s="169">
        <f>+S16</f>
        <v>0</v>
      </c>
      <c r="U16" s="130"/>
      <c r="V16" s="168"/>
      <c r="W16" s="169">
        <f>+V16</f>
        <v>0</v>
      </c>
      <c r="X16" s="130"/>
      <c r="Y16" s="168"/>
      <c r="Z16" s="169">
        <f>+Y16</f>
        <v>0</v>
      </c>
    </row>
    <row r="17" spans="1:26">
      <c r="A17" s="165"/>
      <c r="B17" s="130"/>
      <c r="C17" s="130"/>
      <c r="D17" s="165"/>
      <c r="E17" s="170"/>
      <c r="F17" s="55"/>
      <c r="G17" s="167"/>
      <c r="H17" s="170"/>
      <c r="I17" s="55"/>
      <c r="J17" s="167"/>
      <c r="K17" s="170"/>
      <c r="L17" s="55"/>
      <c r="M17" s="167"/>
      <c r="N17" s="170"/>
      <c r="O17" s="55"/>
      <c r="P17" s="167"/>
      <c r="Q17" s="170"/>
      <c r="R17" s="55"/>
      <c r="S17" s="167"/>
      <c r="T17" s="170"/>
      <c r="U17" s="55"/>
      <c r="V17" s="167"/>
      <c r="W17" s="170"/>
      <c r="X17" s="55"/>
      <c r="Y17" s="167"/>
      <c r="Z17" s="170"/>
    </row>
    <row r="18" spans="1:26">
      <c r="A18" s="335" t="s">
        <v>177</v>
      </c>
      <c r="B18" s="324"/>
      <c r="C18" s="159"/>
      <c r="D18" s="165"/>
      <c r="E18" s="166"/>
      <c r="F18" s="130"/>
      <c r="G18" s="165"/>
      <c r="H18" s="166"/>
      <c r="I18" s="130"/>
      <c r="J18" s="165"/>
      <c r="K18" s="166"/>
      <c r="L18" s="130"/>
      <c r="M18" s="165"/>
      <c r="N18" s="166"/>
      <c r="O18" s="130"/>
      <c r="P18" s="165"/>
      <c r="Q18" s="166"/>
      <c r="R18" s="130"/>
      <c r="S18" s="165"/>
      <c r="T18" s="166"/>
      <c r="U18" s="130"/>
      <c r="V18" s="165"/>
      <c r="W18" s="166"/>
      <c r="X18" s="130"/>
      <c r="Y18" s="165"/>
      <c r="Z18" s="166"/>
    </row>
    <row r="19" spans="1:26">
      <c r="A19" s="165" t="s">
        <v>175</v>
      </c>
      <c r="B19" s="130"/>
      <c r="C19" s="130"/>
      <c r="D19" s="183">
        <f>+'ESTADOS FINANCIEROS'!R10</f>
        <v>65689.1774</v>
      </c>
      <c r="E19" s="166"/>
      <c r="F19" s="130"/>
      <c r="G19" s="167">
        <f>+'ESTADOS FINANCIEROS'!R17</f>
        <v>68972.399999999994</v>
      </c>
      <c r="H19" s="166"/>
      <c r="I19" s="130"/>
      <c r="J19" s="167">
        <f>+'ESTADOS FINANCIEROS'!R24</f>
        <v>76042.070999999996</v>
      </c>
      <c r="K19" s="166"/>
      <c r="L19" s="130"/>
      <c r="M19" s="167">
        <f>+'ESTADOS FINANCIEROS'!R31</f>
        <v>79844.174550000011</v>
      </c>
      <c r="N19" s="166"/>
      <c r="O19" s="130"/>
      <c r="P19" s="167">
        <f>+'ESTADOS FINANCIEROS'!R38</f>
        <v>88028.202441375033</v>
      </c>
      <c r="Q19" s="166"/>
      <c r="R19" s="130"/>
      <c r="S19" s="167">
        <f>+'ESTADOS FINANCIEROS'!R45</f>
        <v>92429.612563443778</v>
      </c>
      <c r="T19" s="166"/>
      <c r="U19" s="130"/>
      <c r="V19" s="167">
        <f>+'ESTADOS FINANCIEROS'!R52</f>
        <v>101903.64785119676</v>
      </c>
      <c r="W19" s="166"/>
      <c r="X19" s="130"/>
      <c r="Y19" s="167">
        <f>+'ESTADOS FINANCIEROS'!R59</f>
        <v>106998.83024375662</v>
      </c>
      <c r="Z19" s="166"/>
    </row>
    <row r="20" spans="1:26">
      <c r="A20" s="165" t="s">
        <v>174</v>
      </c>
      <c r="B20" s="130"/>
      <c r="C20" s="130"/>
      <c r="D20" s="167">
        <f>+'ESTADOS FINANCIEROS'!R9</f>
        <v>7882.7012880000002</v>
      </c>
      <c r="E20" s="166"/>
      <c r="F20" s="130"/>
      <c r="G20" s="167">
        <f>+'ESTADOS FINANCIEROS'!R16</f>
        <v>8276.6880000000001</v>
      </c>
      <c r="H20" s="166"/>
      <c r="I20" s="130"/>
      <c r="J20" s="167">
        <f>+'ESTADOS FINANCIEROS'!R23</f>
        <v>9125.0485200000003</v>
      </c>
      <c r="K20" s="166"/>
      <c r="L20" s="130"/>
      <c r="M20" s="167">
        <f>+'ESTADOS FINANCIEROS'!R30</f>
        <v>9581.3009460000012</v>
      </c>
      <c r="N20" s="166"/>
      <c r="O20" s="130"/>
      <c r="P20" s="167">
        <f>+'ESTADOS FINANCIEROS'!R37</f>
        <v>10563.384292965002</v>
      </c>
      <c r="Q20" s="166"/>
      <c r="R20" s="130"/>
      <c r="S20" s="167">
        <f>+'ESTADOS FINANCIEROS'!R44</f>
        <v>11091.553507613251</v>
      </c>
      <c r="T20" s="166"/>
      <c r="U20" s="130"/>
      <c r="V20" s="167">
        <f>+'ESTADOS FINANCIEROS'!R51</f>
        <v>12228.437742143615</v>
      </c>
      <c r="W20" s="166"/>
      <c r="X20" s="130"/>
      <c r="Y20" s="167">
        <f>+'ESTADOS FINANCIEROS'!R58</f>
        <v>12839.859629250795</v>
      </c>
      <c r="Z20" s="166"/>
    </row>
    <row r="21" spans="1:26">
      <c r="A21" s="165"/>
      <c r="B21" s="130" t="s">
        <v>172</v>
      </c>
      <c r="C21" s="130"/>
      <c r="D21" s="165"/>
      <c r="E21" s="170">
        <f>+D19+D20-E22</f>
        <v>65360.731512999999</v>
      </c>
      <c r="F21" s="55"/>
      <c r="G21" s="167"/>
      <c r="H21" s="170">
        <f>+G19+G20-H22</f>
        <v>68627.537999999986</v>
      </c>
      <c r="I21" s="55"/>
      <c r="J21" s="167"/>
      <c r="K21" s="170">
        <f>+J19+J20-K22</f>
        <v>75661.860644999993</v>
      </c>
      <c r="L21" s="55"/>
      <c r="M21" s="167"/>
      <c r="N21" s="170">
        <f>+M19+M20-N22</f>
        <v>79444.953677250014</v>
      </c>
      <c r="O21" s="55"/>
      <c r="P21" s="167"/>
      <c r="Q21" s="170">
        <f>+P19+P20-Q22</f>
        <v>87588.061429168156</v>
      </c>
      <c r="R21" s="55"/>
      <c r="S21" s="167"/>
      <c r="T21" s="170">
        <f>+S19+S20-T22</f>
        <v>91967.464500626549</v>
      </c>
      <c r="U21" s="55"/>
      <c r="V21" s="167"/>
      <c r="W21" s="170">
        <f>+V19+V20-W22</f>
        <v>101394.12961194076</v>
      </c>
      <c r="X21" s="55"/>
      <c r="Y21" s="167"/>
      <c r="Z21" s="170">
        <f>+Y19+Y20-Z22</f>
        <v>106463.83609253784</v>
      </c>
    </row>
    <row r="22" spans="1:26">
      <c r="A22" s="165"/>
      <c r="B22" s="130" t="s">
        <v>176</v>
      </c>
      <c r="C22" s="130"/>
      <c r="D22" s="165"/>
      <c r="E22" s="170">
        <f>+'ESTADOS FINANCIEROS'!C73</f>
        <v>8211.1471750000001</v>
      </c>
      <c r="F22" s="55"/>
      <c r="G22" s="167"/>
      <c r="H22" s="170">
        <f>+'ESTADOS FINANCIEROS'!D73</f>
        <v>8621.5499999999993</v>
      </c>
      <c r="I22" s="55"/>
      <c r="J22" s="167"/>
      <c r="K22" s="170">
        <f>+'ESTADOS FINANCIEROS'!E73</f>
        <v>9505.2588749999995</v>
      </c>
      <c r="L22" s="55"/>
      <c r="M22" s="167"/>
      <c r="N22" s="170">
        <f>+'ESTADOS FINANCIEROS'!F73</f>
        <v>9980.5218187500013</v>
      </c>
      <c r="O22" s="55"/>
      <c r="P22" s="167"/>
      <c r="Q22" s="170">
        <f>+'ESTADOS FINANCIEROS'!G73</f>
        <v>11003.525305171879</v>
      </c>
      <c r="R22" s="55"/>
      <c r="S22" s="167"/>
      <c r="T22" s="170">
        <f>+'ESTADOS FINANCIEROS'!H73</f>
        <v>11553.701570430472</v>
      </c>
      <c r="U22" s="55"/>
      <c r="V22" s="167"/>
      <c r="W22" s="170">
        <f>+'ESTADOS FINANCIEROS'!I73</f>
        <v>12737.955981399595</v>
      </c>
      <c r="X22" s="55"/>
      <c r="Y22" s="167"/>
      <c r="Z22" s="170">
        <f>+'ESTADOS FINANCIEROS'!J73</f>
        <v>13374.853780469577</v>
      </c>
    </row>
    <row r="23" spans="1:26">
      <c r="A23" s="165"/>
      <c r="B23" s="130"/>
      <c r="C23" s="130"/>
      <c r="D23" s="165"/>
      <c r="E23" s="166"/>
      <c r="F23" s="130"/>
      <c r="G23" s="165"/>
      <c r="H23" s="166"/>
      <c r="I23" s="130"/>
      <c r="J23" s="165"/>
      <c r="K23" s="166"/>
      <c r="L23" s="130"/>
      <c r="M23" s="165"/>
      <c r="N23" s="166"/>
      <c r="O23" s="130"/>
      <c r="P23" s="165"/>
      <c r="Q23" s="166"/>
      <c r="R23" s="130"/>
      <c r="S23" s="165"/>
      <c r="T23" s="166"/>
      <c r="U23" s="130"/>
      <c r="V23" s="165"/>
      <c r="W23" s="166"/>
      <c r="X23" s="130"/>
      <c r="Y23" s="165"/>
      <c r="Z23" s="166"/>
    </row>
    <row r="24" spans="1:26" ht="42" customHeight="1">
      <c r="A24" s="336" t="s">
        <v>214</v>
      </c>
      <c r="B24" s="337"/>
      <c r="C24" s="194"/>
      <c r="D24" s="171"/>
      <c r="E24" s="172"/>
      <c r="F24" s="195"/>
      <c r="G24" s="171"/>
      <c r="H24" s="172"/>
      <c r="I24" s="195"/>
      <c r="J24" s="171"/>
      <c r="K24" s="172"/>
      <c r="L24" s="195"/>
      <c r="M24" s="171"/>
      <c r="N24" s="172"/>
      <c r="O24" s="195"/>
      <c r="P24" s="171"/>
      <c r="Q24" s="172"/>
      <c r="R24" s="195"/>
      <c r="S24" s="171"/>
      <c r="T24" s="172"/>
      <c r="U24" s="195"/>
      <c r="V24" s="171"/>
      <c r="W24" s="172"/>
      <c r="X24" s="195"/>
      <c r="Y24" s="171"/>
      <c r="Z24" s="172"/>
    </row>
    <row r="25" spans="1:26">
      <c r="A25" s="171" t="s">
        <v>176</v>
      </c>
      <c r="B25" s="195"/>
      <c r="C25" s="195"/>
      <c r="D25" s="173">
        <v>0</v>
      </c>
      <c r="E25" s="172"/>
      <c r="F25" s="195"/>
      <c r="G25" s="173">
        <f>+E22</f>
        <v>8211.1471750000001</v>
      </c>
      <c r="H25" s="172"/>
      <c r="I25" s="195"/>
      <c r="J25" s="173">
        <f>+H22</f>
        <v>8621.5499999999993</v>
      </c>
      <c r="K25" s="172"/>
      <c r="L25" s="195"/>
      <c r="M25" s="173">
        <f>+K22</f>
        <v>9505.2588749999995</v>
      </c>
      <c r="N25" s="172"/>
      <c r="O25" s="195"/>
      <c r="P25" s="173">
        <f>+N22</f>
        <v>9980.5218187500013</v>
      </c>
      <c r="Q25" s="172"/>
      <c r="R25" s="195"/>
      <c r="S25" s="173">
        <f>+Q22</f>
        <v>11003.525305171879</v>
      </c>
      <c r="T25" s="172"/>
      <c r="U25" s="195"/>
      <c r="V25" s="173">
        <f>+T22</f>
        <v>11553.701570430472</v>
      </c>
      <c r="W25" s="172"/>
      <c r="X25" s="195"/>
      <c r="Y25" s="173">
        <f>+W22</f>
        <v>12737.955981399595</v>
      </c>
      <c r="Z25" s="172"/>
    </row>
    <row r="26" spans="1:26">
      <c r="A26" s="171"/>
      <c r="B26" s="195" t="s">
        <v>172</v>
      </c>
      <c r="C26" s="195"/>
      <c r="D26" s="171"/>
      <c r="E26" s="174">
        <v>0</v>
      </c>
      <c r="F26" s="195"/>
      <c r="G26" s="171"/>
      <c r="H26" s="174">
        <f>+G25</f>
        <v>8211.1471750000001</v>
      </c>
      <c r="I26" s="195"/>
      <c r="J26" s="171"/>
      <c r="K26" s="174">
        <f>+J25</f>
        <v>8621.5499999999993</v>
      </c>
      <c r="L26" s="195"/>
      <c r="M26" s="171"/>
      <c r="N26" s="174">
        <f>+M25</f>
        <v>9505.2588749999995</v>
      </c>
      <c r="O26" s="195"/>
      <c r="P26" s="171"/>
      <c r="Q26" s="174">
        <f>+P25</f>
        <v>9980.5218187500013</v>
      </c>
      <c r="R26" s="195"/>
      <c r="S26" s="171"/>
      <c r="T26" s="174">
        <f>+S25</f>
        <v>11003.525305171879</v>
      </c>
      <c r="U26" s="195"/>
      <c r="V26" s="171"/>
      <c r="W26" s="174">
        <f>+V25</f>
        <v>11553.701570430472</v>
      </c>
      <c r="X26" s="195"/>
      <c r="Y26" s="171"/>
      <c r="Z26" s="174">
        <f>+Y25</f>
        <v>12737.955981399595</v>
      </c>
    </row>
    <row r="27" spans="1:26">
      <c r="A27" s="165"/>
      <c r="B27" s="130"/>
      <c r="C27" s="130"/>
      <c r="D27" s="165"/>
      <c r="E27" s="170"/>
      <c r="F27" s="130"/>
      <c r="G27" s="165"/>
      <c r="H27" s="166"/>
      <c r="I27" s="130"/>
      <c r="J27" s="165"/>
      <c r="K27" s="166"/>
      <c r="L27" s="130"/>
      <c r="M27" s="165"/>
      <c r="N27" s="166"/>
      <c r="O27" s="130"/>
      <c r="P27" s="165"/>
      <c r="Q27" s="166"/>
      <c r="R27" s="130"/>
      <c r="S27" s="165"/>
      <c r="T27" s="166"/>
      <c r="U27" s="130"/>
      <c r="V27" s="165"/>
      <c r="W27" s="166"/>
      <c r="X27" s="130"/>
      <c r="Y27" s="165"/>
      <c r="Z27" s="166"/>
    </row>
    <row r="28" spans="1:26">
      <c r="A28" s="165"/>
      <c r="B28" s="130"/>
      <c r="C28" s="130"/>
      <c r="D28" s="175"/>
      <c r="E28" s="170"/>
      <c r="F28" s="55"/>
      <c r="G28" s="167"/>
      <c r="H28" s="170"/>
      <c r="I28" s="55"/>
      <c r="J28" s="167"/>
      <c r="K28" s="170"/>
      <c r="L28" s="55"/>
      <c r="M28" s="167"/>
      <c r="N28" s="170"/>
      <c r="O28" s="55"/>
      <c r="P28" s="167"/>
      <c r="Q28" s="170"/>
      <c r="R28" s="55"/>
      <c r="S28" s="167"/>
      <c r="T28" s="170"/>
      <c r="U28" s="55"/>
      <c r="V28" s="167"/>
      <c r="W28" s="170"/>
      <c r="X28" s="55"/>
      <c r="Y28" s="167"/>
      <c r="Z28" s="170"/>
    </row>
    <row r="29" spans="1:26" ht="30">
      <c r="A29" s="175" t="s">
        <v>178</v>
      </c>
      <c r="B29" s="130"/>
      <c r="C29" s="130"/>
      <c r="D29" s="165"/>
      <c r="E29" s="166"/>
      <c r="F29" s="130"/>
      <c r="G29" s="165"/>
      <c r="H29" s="166"/>
      <c r="I29" s="130"/>
      <c r="J29" s="165"/>
      <c r="K29" s="166"/>
      <c r="L29" s="130"/>
      <c r="M29" s="165"/>
      <c r="N29" s="166"/>
      <c r="O29" s="130"/>
      <c r="P29" s="165"/>
      <c r="Q29" s="166"/>
      <c r="R29" s="130"/>
      <c r="S29" s="165"/>
      <c r="T29" s="166"/>
      <c r="U29" s="130"/>
      <c r="V29" s="165"/>
      <c r="W29" s="166"/>
      <c r="X29" s="130"/>
      <c r="Y29" s="165"/>
      <c r="Z29" s="166"/>
    </row>
    <row r="30" spans="1:26">
      <c r="A30" s="165" t="s">
        <v>172</v>
      </c>
      <c r="B30" s="130"/>
      <c r="C30" s="130"/>
      <c r="D30" s="167">
        <f>+E32+E33-D31</f>
        <v>134248.33333333334</v>
      </c>
      <c r="E30" s="166"/>
      <c r="F30" s="130"/>
      <c r="G30" s="167">
        <f>+H32+H33-G31</f>
        <v>163819.25</v>
      </c>
      <c r="H30" s="166"/>
      <c r="I30" s="130"/>
      <c r="J30" s="167">
        <f>+K32+K33-J31</f>
        <v>188011.16250000001</v>
      </c>
      <c r="K30" s="166"/>
      <c r="L30" s="130"/>
      <c r="M30" s="167">
        <f>+N32+N33-M31</f>
        <v>197411.72062500002</v>
      </c>
      <c r="N30" s="166"/>
      <c r="O30" s="130"/>
      <c r="P30" s="167">
        <f>+Q32+Q33-P31</f>
        <v>224923.35403125003</v>
      </c>
      <c r="Q30" s="166"/>
      <c r="R30" s="130"/>
      <c r="S30" s="167">
        <f>+T32+T33-S31</f>
        <v>236169.52173281251</v>
      </c>
      <c r="T30" s="166"/>
      <c r="U30" s="130"/>
      <c r="V30" s="167">
        <f>+W32+W33-V31</f>
        <v>267427.25255039072</v>
      </c>
      <c r="W30" s="166"/>
      <c r="X30" s="130"/>
      <c r="Y30" s="167">
        <f>+Z32+Z33-Y31</f>
        <v>280798.61517791025</v>
      </c>
      <c r="Z30" s="166"/>
    </row>
    <row r="31" spans="1:26">
      <c r="A31" s="165" t="s">
        <v>171</v>
      </c>
      <c r="B31" s="130"/>
      <c r="C31" s="130"/>
      <c r="D31" s="167">
        <f>+'ESTADOS FINANCIEROS'!C71</f>
        <v>10791.666666666666</v>
      </c>
      <c r="E31" s="166"/>
      <c r="F31" s="130"/>
      <c r="G31" s="167">
        <f>+'ESTADOS FINANCIEROS'!D71</f>
        <v>13168.75</v>
      </c>
      <c r="H31" s="166"/>
      <c r="I31" s="130"/>
      <c r="J31" s="167">
        <f>+'ESTADOS FINANCIEROS'!E71</f>
        <v>15113.4375</v>
      </c>
      <c r="K31" s="166"/>
      <c r="L31" s="130"/>
      <c r="M31" s="167">
        <f>+'ESTADOS FINANCIEROS'!F71</f>
        <v>15869.109375</v>
      </c>
      <c r="N31" s="166"/>
      <c r="O31" s="130"/>
      <c r="P31" s="167">
        <f>+'ESTADOS FINANCIEROS'!G71</f>
        <v>18080.655468749999</v>
      </c>
      <c r="Q31" s="166"/>
      <c r="R31" s="130"/>
      <c r="S31" s="167">
        <f>+'ESTADOS FINANCIEROS'!H71</f>
        <v>18984.688242187505</v>
      </c>
      <c r="T31" s="166"/>
      <c r="U31" s="130"/>
      <c r="V31" s="167">
        <f>+'ESTADOS FINANCIEROS'!I71</f>
        <v>21497.367568359379</v>
      </c>
      <c r="W31" s="166"/>
      <c r="X31" s="130"/>
      <c r="Y31" s="167">
        <f>+'ESTADOS FINANCIEROS'!J71</f>
        <v>22572.235946777349</v>
      </c>
      <c r="Z31" s="166"/>
    </row>
    <row r="32" spans="1:26">
      <c r="A32" s="165"/>
      <c r="B32" s="130" t="s">
        <v>173</v>
      </c>
      <c r="C32" s="130"/>
      <c r="D32" s="165"/>
      <c r="E32" s="170">
        <f>+'ESTADOS FINANCIEROS'!I10</f>
        <v>129500</v>
      </c>
      <c r="F32" s="55"/>
      <c r="G32" s="167"/>
      <c r="H32" s="170">
        <f>+'ESTADOS FINANCIEROS'!I17</f>
        <v>158025</v>
      </c>
      <c r="I32" s="55"/>
      <c r="J32" s="167"/>
      <c r="K32" s="170">
        <f>+'ESTADOS FINANCIEROS'!I24</f>
        <v>181361.25</v>
      </c>
      <c r="L32" s="55"/>
      <c r="M32" s="167"/>
      <c r="N32" s="170">
        <f>+'ESTADOS FINANCIEROS'!I31</f>
        <v>190429.3125</v>
      </c>
      <c r="O32" s="55"/>
      <c r="P32" s="167"/>
      <c r="Q32" s="170">
        <f>+'ESTADOS FINANCIEROS'!I38</f>
        <v>216967.86562500001</v>
      </c>
      <c r="R32" s="55"/>
      <c r="S32" s="167"/>
      <c r="T32" s="170">
        <f>+'ESTADOS FINANCIEROS'!I45</f>
        <v>227816.25890625003</v>
      </c>
      <c r="U32" s="55"/>
      <c r="V32" s="167"/>
      <c r="W32" s="170">
        <f>+'ESTADOS FINANCIEROS'!I52</f>
        <v>257968.41082031257</v>
      </c>
      <c r="X32" s="55"/>
      <c r="Y32" s="167"/>
      <c r="Z32" s="170">
        <f>+'ESTADOS FINANCIEROS'!I59</f>
        <v>270866.83136132819</v>
      </c>
    </row>
    <row r="33" spans="1:26">
      <c r="A33" s="165"/>
      <c r="B33" s="130" t="s">
        <v>174</v>
      </c>
      <c r="C33" s="130"/>
      <c r="D33" s="175"/>
      <c r="E33" s="170">
        <f>+'ESTADOS FINANCIEROS'!I9</f>
        <v>15540</v>
      </c>
      <c r="F33" s="55"/>
      <c r="G33" s="167"/>
      <c r="H33" s="170">
        <f>+'ESTADOS FINANCIEROS'!I16</f>
        <v>18963</v>
      </c>
      <c r="I33" s="55"/>
      <c r="J33" s="167"/>
      <c r="K33" s="170">
        <f>+'ESTADOS FINANCIEROS'!I23</f>
        <v>21763.35</v>
      </c>
      <c r="L33" s="55"/>
      <c r="M33" s="167"/>
      <c r="N33" s="170">
        <f>+'ESTADOS FINANCIEROS'!I30</f>
        <v>22851.517500000002</v>
      </c>
      <c r="O33" s="55"/>
      <c r="P33" s="167"/>
      <c r="Q33" s="170">
        <f>+'ESTADOS FINANCIEROS'!I37</f>
        <v>26036.143875000002</v>
      </c>
      <c r="R33" s="55"/>
      <c r="S33" s="167"/>
      <c r="T33" s="170">
        <f>+'ESTADOS FINANCIEROS'!I44</f>
        <v>27337.951068750004</v>
      </c>
      <c r="U33" s="55"/>
      <c r="V33" s="167"/>
      <c r="W33" s="170">
        <f>+'ESTADOS FINANCIEROS'!I51</f>
        <v>30956.209298437505</v>
      </c>
      <c r="X33" s="55"/>
      <c r="Y33" s="167"/>
      <c r="Z33" s="170">
        <f>+'ESTADOS FINANCIEROS'!I58</f>
        <v>32504.019763359378</v>
      </c>
    </row>
    <row r="34" spans="1:26" ht="42.75" customHeight="1">
      <c r="A34" s="336" t="s">
        <v>216</v>
      </c>
      <c r="B34" s="337"/>
      <c r="C34" s="195"/>
      <c r="D34" s="171"/>
      <c r="E34" s="172"/>
      <c r="F34" s="195"/>
      <c r="G34" s="173"/>
      <c r="H34" s="174"/>
      <c r="I34" s="196"/>
      <c r="J34" s="173"/>
      <c r="K34" s="174"/>
      <c r="L34" s="196"/>
      <c r="M34" s="173"/>
      <c r="N34" s="174"/>
      <c r="O34" s="196"/>
      <c r="P34" s="173"/>
      <c r="Q34" s="174"/>
      <c r="R34" s="196"/>
      <c r="S34" s="173"/>
      <c r="T34" s="174"/>
      <c r="U34" s="196"/>
      <c r="V34" s="173"/>
      <c r="W34" s="174"/>
      <c r="X34" s="196"/>
      <c r="Y34" s="173"/>
      <c r="Z34" s="174"/>
    </row>
    <row r="35" spans="1:26">
      <c r="A35" s="171" t="s">
        <v>172</v>
      </c>
      <c r="B35" s="195"/>
      <c r="C35" s="195"/>
      <c r="D35" s="173">
        <v>0</v>
      </c>
      <c r="E35" s="172"/>
      <c r="F35" s="195"/>
      <c r="G35" s="173">
        <f>+D31</f>
        <v>10791.666666666666</v>
      </c>
      <c r="H35" s="174"/>
      <c r="I35" s="196"/>
      <c r="J35" s="173">
        <f>+G31</f>
        <v>13168.75</v>
      </c>
      <c r="K35" s="174"/>
      <c r="L35" s="196"/>
      <c r="M35" s="173">
        <f>+J31</f>
        <v>15113.4375</v>
      </c>
      <c r="N35" s="174"/>
      <c r="O35" s="196"/>
      <c r="P35" s="173">
        <f>+M31</f>
        <v>15869.109375</v>
      </c>
      <c r="Q35" s="174"/>
      <c r="R35" s="196"/>
      <c r="S35" s="173">
        <f>+P31</f>
        <v>18080.655468749999</v>
      </c>
      <c r="T35" s="174"/>
      <c r="U35" s="196"/>
      <c r="V35" s="173">
        <f>+S31</f>
        <v>18984.688242187505</v>
      </c>
      <c r="W35" s="174"/>
      <c r="X35" s="196"/>
      <c r="Y35" s="173">
        <f>+V31</f>
        <v>21497.367568359379</v>
      </c>
      <c r="Z35" s="174"/>
    </row>
    <row r="36" spans="1:26">
      <c r="A36" s="171"/>
      <c r="B36" s="195" t="s">
        <v>215</v>
      </c>
      <c r="C36" s="195"/>
      <c r="D36" s="171"/>
      <c r="E36" s="174">
        <v>0</v>
      </c>
      <c r="F36" s="195"/>
      <c r="G36" s="173"/>
      <c r="H36" s="174">
        <f>+G35</f>
        <v>10791.666666666666</v>
      </c>
      <c r="I36" s="196"/>
      <c r="J36" s="173"/>
      <c r="K36" s="174">
        <f>+J35</f>
        <v>13168.75</v>
      </c>
      <c r="L36" s="196"/>
      <c r="M36" s="173"/>
      <c r="N36" s="174">
        <f>+M35</f>
        <v>15113.4375</v>
      </c>
      <c r="O36" s="196"/>
      <c r="P36" s="173"/>
      <c r="Q36" s="174">
        <f>+P35</f>
        <v>15869.109375</v>
      </c>
      <c r="R36" s="196"/>
      <c r="S36" s="173"/>
      <c r="T36" s="174">
        <f>+S35</f>
        <v>18080.655468749999</v>
      </c>
      <c r="U36" s="196"/>
      <c r="V36" s="173"/>
      <c r="W36" s="174">
        <f>+V35</f>
        <v>18984.688242187505</v>
      </c>
      <c r="X36" s="196"/>
      <c r="Y36" s="173"/>
      <c r="Z36" s="174">
        <f>+Y35</f>
        <v>21497.367568359379</v>
      </c>
    </row>
    <row r="37" spans="1:26">
      <c r="A37" s="175"/>
      <c r="B37" s="159"/>
      <c r="C37" s="159"/>
      <c r="D37" s="175"/>
      <c r="E37" s="176"/>
      <c r="F37" s="159"/>
      <c r="G37" s="175"/>
      <c r="H37" s="176"/>
      <c r="I37" s="159"/>
      <c r="J37" s="175"/>
      <c r="K37" s="176"/>
      <c r="L37" s="159"/>
      <c r="M37" s="175"/>
      <c r="N37" s="176"/>
      <c r="O37" s="159"/>
      <c r="P37" s="175"/>
      <c r="Q37" s="176"/>
      <c r="R37" s="159"/>
      <c r="S37" s="175"/>
      <c r="T37" s="176"/>
      <c r="U37" s="159"/>
      <c r="V37" s="175"/>
      <c r="W37" s="176"/>
      <c r="X37" s="159"/>
      <c r="Y37" s="175"/>
      <c r="Z37" s="176"/>
    </row>
    <row r="38" spans="1:26" ht="45">
      <c r="A38" s="175" t="s">
        <v>179</v>
      </c>
      <c r="B38" s="130"/>
      <c r="C38" s="130"/>
      <c r="D38" s="165"/>
      <c r="E38" s="166"/>
      <c r="F38" s="130"/>
      <c r="G38" s="165"/>
      <c r="H38" s="166"/>
      <c r="I38" s="130"/>
      <c r="J38" s="165"/>
      <c r="K38" s="166"/>
      <c r="L38" s="130"/>
      <c r="M38" s="165"/>
      <c r="N38" s="166"/>
      <c r="O38" s="130"/>
      <c r="P38" s="165"/>
      <c r="Q38" s="166"/>
      <c r="R38" s="130"/>
      <c r="S38" s="165"/>
      <c r="T38" s="166"/>
      <c r="U38" s="130"/>
      <c r="V38" s="165"/>
      <c r="W38" s="166"/>
      <c r="X38" s="130"/>
      <c r="Y38" s="165"/>
      <c r="Z38" s="166"/>
    </row>
    <row r="39" spans="1:26">
      <c r="A39" s="165" t="s">
        <v>180</v>
      </c>
      <c r="B39" s="130"/>
      <c r="C39" s="130"/>
      <c r="D39" s="167">
        <f>+'ESTADOS FINANCIEROS'!R10</f>
        <v>65689.1774</v>
      </c>
      <c r="E39" s="166"/>
      <c r="F39" s="130"/>
      <c r="G39" s="165"/>
      <c r="H39" s="166"/>
      <c r="I39" s="130"/>
      <c r="J39" s="165"/>
      <c r="K39" s="166"/>
      <c r="L39" s="130"/>
      <c r="M39" s="165"/>
      <c r="N39" s="166"/>
      <c r="O39" s="130"/>
      <c r="P39" s="165"/>
      <c r="Q39" s="166"/>
      <c r="R39" s="130"/>
      <c r="S39" s="165"/>
      <c r="T39" s="166"/>
      <c r="U39" s="130"/>
      <c r="V39" s="165"/>
      <c r="W39" s="166"/>
      <c r="X39" s="130"/>
      <c r="Y39" s="165"/>
      <c r="Z39" s="166"/>
    </row>
    <row r="40" spans="1:26">
      <c r="A40" s="165"/>
      <c r="B40" s="130" t="s">
        <v>181</v>
      </c>
      <c r="C40" s="130"/>
      <c r="D40" s="165"/>
      <c r="E40" s="184">
        <f>+D39</f>
        <v>65689.1774</v>
      </c>
      <c r="F40" s="130"/>
      <c r="G40" s="165"/>
      <c r="H40" s="166"/>
      <c r="I40" s="130"/>
      <c r="J40" s="165"/>
      <c r="K40" s="166"/>
      <c r="L40" s="130"/>
      <c r="M40" s="165"/>
      <c r="N40" s="166"/>
      <c r="O40" s="130"/>
      <c r="P40" s="165"/>
      <c r="Q40" s="166"/>
      <c r="R40" s="130"/>
      <c r="S40" s="165"/>
      <c r="T40" s="166"/>
      <c r="U40" s="130"/>
      <c r="V40" s="165"/>
      <c r="W40" s="166"/>
      <c r="X40" s="130"/>
      <c r="Y40" s="165"/>
      <c r="Z40" s="166"/>
    </row>
    <row r="41" spans="1:26">
      <c r="A41" s="165"/>
      <c r="B41" s="130"/>
      <c r="C41" s="130"/>
      <c r="D41" s="165"/>
      <c r="E41" s="166"/>
      <c r="F41" s="130"/>
      <c r="G41" s="165"/>
      <c r="H41" s="166"/>
      <c r="I41" s="130"/>
      <c r="J41" s="165"/>
      <c r="K41" s="166"/>
      <c r="L41" s="130"/>
      <c r="M41" s="165"/>
      <c r="N41" s="166"/>
      <c r="O41" s="130"/>
      <c r="P41" s="165"/>
      <c r="Q41" s="166"/>
      <c r="R41" s="130"/>
      <c r="S41" s="165"/>
      <c r="T41" s="166"/>
      <c r="U41" s="130"/>
      <c r="V41" s="165"/>
      <c r="W41" s="166"/>
      <c r="X41" s="130"/>
      <c r="Y41" s="165"/>
      <c r="Z41" s="166"/>
    </row>
    <row r="42" spans="1:26" ht="49.5" customHeight="1">
      <c r="A42" s="336" t="s">
        <v>217</v>
      </c>
      <c r="B42" s="337"/>
      <c r="C42" s="195"/>
      <c r="D42" s="171"/>
      <c r="E42" s="172"/>
      <c r="F42" s="195"/>
      <c r="G42" s="171"/>
      <c r="H42" s="172"/>
      <c r="I42" s="195"/>
      <c r="J42" s="171"/>
      <c r="K42" s="172"/>
      <c r="L42" s="195"/>
      <c r="M42" s="171"/>
      <c r="N42" s="172"/>
      <c r="O42" s="195"/>
      <c r="P42" s="171"/>
      <c r="Q42" s="172"/>
      <c r="R42" s="195"/>
      <c r="S42" s="171"/>
      <c r="T42" s="172"/>
      <c r="U42" s="195"/>
      <c r="V42" s="171"/>
      <c r="W42" s="172"/>
      <c r="X42" s="195"/>
      <c r="Y42" s="171"/>
      <c r="Z42" s="172"/>
    </row>
    <row r="43" spans="1:26">
      <c r="A43" s="171" t="s">
        <v>4</v>
      </c>
      <c r="B43" s="195"/>
      <c r="C43" s="195"/>
      <c r="D43" s="173">
        <v>0</v>
      </c>
      <c r="E43" s="172"/>
      <c r="F43" s="195"/>
      <c r="G43" s="173">
        <f>+E33-D20</f>
        <v>7657.2987119999998</v>
      </c>
      <c r="H43" s="172"/>
      <c r="I43" s="195"/>
      <c r="J43" s="173">
        <f>+H33-G20</f>
        <v>10686.312</v>
      </c>
      <c r="K43" s="172"/>
      <c r="L43" s="195"/>
      <c r="M43" s="173">
        <f>+K33-J20</f>
        <v>12638.301479999998</v>
      </c>
      <c r="N43" s="172"/>
      <c r="O43" s="195"/>
      <c r="P43" s="173">
        <f>+N33-M20</f>
        <v>13270.216554000001</v>
      </c>
      <c r="Q43" s="172"/>
      <c r="R43" s="195"/>
      <c r="S43" s="173">
        <f>+Q33-P20</f>
        <v>15472.759582035</v>
      </c>
      <c r="T43" s="172"/>
      <c r="U43" s="195"/>
      <c r="V43" s="173">
        <f>+T33-S20</f>
        <v>16246.397561136753</v>
      </c>
      <c r="W43" s="172"/>
      <c r="X43" s="195"/>
      <c r="Y43" s="173">
        <f>+W33-V20</f>
        <v>18727.77155629389</v>
      </c>
      <c r="Z43" s="172"/>
    </row>
    <row r="44" spans="1:26">
      <c r="A44" s="171"/>
      <c r="B44" s="195" t="s">
        <v>218</v>
      </c>
      <c r="C44" s="195"/>
      <c r="D44" s="171"/>
      <c r="E44" s="174">
        <v>0</v>
      </c>
      <c r="F44" s="195"/>
      <c r="G44" s="171"/>
      <c r="H44" s="174">
        <f>+G43</f>
        <v>7657.2987119999998</v>
      </c>
      <c r="I44" s="195"/>
      <c r="J44" s="171"/>
      <c r="K44" s="174">
        <f>+J43</f>
        <v>10686.312</v>
      </c>
      <c r="L44" s="195"/>
      <c r="M44" s="171"/>
      <c r="N44" s="174">
        <f>+M43</f>
        <v>12638.301479999998</v>
      </c>
      <c r="O44" s="195"/>
      <c r="P44" s="171"/>
      <c r="Q44" s="174">
        <f>+P43</f>
        <v>13270.216554000001</v>
      </c>
      <c r="R44" s="195"/>
      <c r="S44" s="171"/>
      <c r="T44" s="174">
        <f>+S43</f>
        <v>15472.759582035</v>
      </c>
      <c r="U44" s="195"/>
      <c r="V44" s="171"/>
      <c r="W44" s="174">
        <f>+V43</f>
        <v>16246.397561136753</v>
      </c>
      <c r="X44" s="195"/>
      <c r="Y44" s="171"/>
      <c r="Z44" s="174">
        <f>+Y43</f>
        <v>18727.77155629389</v>
      </c>
    </row>
    <row r="45" spans="1:26">
      <c r="A45" s="165"/>
      <c r="B45" s="130"/>
      <c r="C45" s="130"/>
      <c r="D45" s="165"/>
      <c r="E45" s="166"/>
      <c r="F45" s="130"/>
      <c r="G45" s="165"/>
      <c r="H45" s="166"/>
      <c r="I45" s="130"/>
      <c r="J45" s="165"/>
      <c r="K45" s="166"/>
      <c r="L45" s="130"/>
      <c r="M45" s="165"/>
      <c r="N45" s="166"/>
      <c r="O45" s="130"/>
      <c r="P45" s="165"/>
      <c r="Q45" s="166"/>
      <c r="R45" s="130"/>
      <c r="S45" s="165"/>
      <c r="T45" s="166"/>
      <c r="U45" s="130"/>
      <c r="V45" s="165"/>
      <c r="W45" s="166"/>
      <c r="X45" s="130"/>
      <c r="Y45" s="165"/>
      <c r="Z45" s="166"/>
    </row>
    <row r="46" spans="1:26" hidden="1">
      <c r="A46" s="177"/>
      <c r="B46" s="47"/>
      <c r="C46" s="47"/>
      <c r="D46" s="177"/>
      <c r="E46" s="178"/>
      <c r="F46" s="47"/>
      <c r="G46" s="177"/>
      <c r="H46" s="178"/>
      <c r="I46" s="47"/>
      <c r="J46" s="177"/>
      <c r="K46" s="166"/>
      <c r="L46" s="130"/>
      <c r="M46" s="165"/>
      <c r="N46" s="166"/>
      <c r="O46" s="130"/>
      <c r="P46" s="165"/>
      <c r="Q46" s="166"/>
      <c r="R46" s="130"/>
      <c r="S46" s="165"/>
      <c r="T46" s="166"/>
      <c r="U46" s="130"/>
      <c r="V46" s="165"/>
      <c r="W46" s="166"/>
      <c r="X46" s="130"/>
      <c r="Y46" s="165"/>
      <c r="Z46" s="166"/>
    </row>
    <row r="47" spans="1:26" hidden="1">
      <c r="A47" s="342" t="s">
        <v>185</v>
      </c>
      <c r="B47" s="327"/>
      <c r="C47" s="197"/>
      <c r="D47" s="185"/>
      <c r="E47" s="186"/>
      <c r="F47" s="47"/>
      <c r="G47" s="177"/>
      <c r="H47" s="178"/>
      <c r="I47" s="47"/>
      <c r="J47" s="177"/>
      <c r="K47" s="166"/>
      <c r="L47" s="130"/>
      <c r="M47" s="165"/>
      <c r="N47" s="166"/>
      <c r="O47" s="130"/>
      <c r="P47" s="165"/>
      <c r="Q47" s="166"/>
      <c r="R47" s="130"/>
      <c r="S47" s="165"/>
      <c r="T47" s="166"/>
      <c r="U47" s="130"/>
      <c r="V47" s="165"/>
      <c r="W47" s="166"/>
      <c r="X47" s="130"/>
      <c r="Y47" s="165"/>
      <c r="Z47" s="166"/>
    </row>
    <row r="48" spans="1:26" hidden="1">
      <c r="A48" s="177" t="s">
        <v>175</v>
      </c>
      <c r="B48" s="47"/>
      <c r="C48" s="47"/>
      <c r="D48" s="187">
        <f>+'ESTADOS FINANCIEROS'!C75</f>
        <v>21896.392466666664</v>
      </c>
      <c r="E48" s="178"/>
      <c r="F48" s="47"/>
      <c r="G48" s="177"/>
      <c r="H48" s="178"/>
      <c r="I48" s="47"/>
      <c r="J48" s="177"/>
      <c r="K48" s="166"/>
      <c r="L48" s="130"/>
      <c r="M48" s="165"/>
      <c r="N48" s="166"/>
      <c r="O48" s="130"/>
      <c r="P48" s="165"/>
      <c r="Q48" s="166"/>
      <c r="R48" s="130"/>
      <c r="S48" s="165"/>
      <c r="T48" s="166"/>
      <c r="U48" s="130"/>
      <c r="V48" s="165"/>
      <c r="W48" s="166"/>
      <c r="X48" s="130"/>
      <c r="Y48" s="165"/>
      <c r="Z48" s="166"/>
    </row>
    <row r="49" spans="1:26" hidden="1">
      <c r="A49" s="177" t="s">
        <v>174</v>
      </c>
      <c r="B49" s="47"/>
      <c r="C49" s="47"/>
      <c r="D49" s="187">
        <f>+'ESTADOS FINANCIEROS'!R26</f>
        <v>0</v>
      </c>
      <c r="E49" s="178"/>
      <c r="F49" s="47"/>
      <c r="G49" s="177"/>
      <c r="H49" s="178"/>
      <c r="I49" s="47"/>
      <c r="J49" s="177"/>
      <c r="K49" s="166"/>
      <c r="L49" s="130"/>
      <c r="M49" s="165"/>
      <c r="N49" s="166"/>
      <c r="O49" s="130"/>
      <c r="P49" s="165"/>
      <c r="Q49" s="166"/>
      <c r="R49" s="130"/>
      <c r="S49" s="165"/>
      <c r="T49" s="166"/>
      <c r="U49" s="130"/>
      <c r="V49" s="165"/>
      <c r="W49" s="166"/>
      <c r="X49" s="130"/>
      <c r="Y49" s="165"/>
      <c r="Z49" s="166"/>
    </row>
    <row r="50" spans="1:26" hidden="1">
      <c r="A50" s="177"/>
      <c r="B50" s="47" t="s">
        <v>172</v>
      </c>
      <c r="C50" s="47"/>
      <c r="D50" s="177"/>
      <c r="E50" s="188">
        <f>+D48+D49-E51</f>
        <v>21896.392466666664</v>
      </c>
      <c r="F50" s="47"/>
      <c r="G50" s="177"/>
      <c r="H50" s="178"/>
      <c r="I50" s="47"/>
      <c r="J50" s="177"/>
      <c r="K50" s="166"/>
      <c r="L50" s="130"/>
      <c r="M50" s="165"/>
      <c r="N50" s="166"/>
      <c r="O50" s="130"/>
      <c r="P50" s="165"/>
      <c r="Q50" s="166"/>
      <c r="R50" s="130"/>
      <c r="S50" s="165"/>
      <c r="T50" s="166"/>
      <c r="U50" s="130"/>
      <c r="V50" s="165"/>
      <c r="W50" s="166"/>
      <c r="X50" s="130"/>
      <c r="Y50" s="165"/>
      <c r="Z50" s="166"/>
    </row>
    <row r="51" spans="1:26" hidden="1">
      <c r="A51" s="177"/>
      <c r="B51" s="47" t="s">
        <v>176</v>
      </c>
      <c r="C51" s="47"/>
      <c r="D51" s="177"/>
      <c r="E51" s="188">
        <f>+'ESTADOS FINANCIEROS'!C89</f>
        <v>0</v>
      </c>
      <c r="F51" s="47"/>
      <c r="G51" s="177"/>
      <c r="H51" s="178"/>
      <c r="I51" s="47"/>
      <c r="J51" s="177"/>
      <c r="K51" s="166"/>
      <c r="L51" s="130"/>
      <c r="M51" s="165"/>
      <c r="N51" s="166"/>
      <c r="O51" s="130"/>
      <c r="P51" s="165"/>
      <c r="Q51" s="166"/>
      <c r="R51" s="130"/>
      <c r="S51" s="165"/>
      <c r="T51" s="166"/>
      <c r="U51" s="130"/>
      <c r="V51" s="165"/>
      <c r="W51" s="166"/>
      <c r="X51" s="130"/>
      <c r="Y51" s="165"/>
      <c r="Z51" s="166"/>
    </row>
    <row r="52" spans="1:26" hidden="1">
      <c r="A52" s="177"/>
      <c r="B52" s="47"/>
      <c r="C52" s="47"/>
      <c r="D52" s="177"/>
      <c r="E52" s="178"/>
      <c r="F52" s="47"/>
      <c r="G52" s="177"/>
      <c r="H52" s="178"/>
      <c r="I52" s="47"/>
      <c r="J52" s="177"/>
      <c r="K52" s="166"/>
      <c r="L52" s="130"/>
      <c r="M52" s="165"/>
      <c r="N52" s="166"/>
      <c r="O52" s="130"/>
      <c r="P52" s="165"/>
      <c r="Q52" s="166"/>
      <c r="R52" s="130"/>
      <c r="S52" s="165"/>
      <c r="T52" s="166"/>
      <c r="U52" s="130"/>
      <c r="V52" s="165"/>
      <c r="W52" s="166"/>
      <c r="X52" s="130"/>
      <c r="Y52" s="165"/>
      <c r="Z52" s="166"/>
    </row>
    <row r="53" spans="1:26" ht="50.25" customHeight="1">
      <c r="A53" s="340" t="s">
        <v>262</v>
      </c>
      <c r="B53" s="341"/>
      <c r="C53" s="198"/>
      <c r="D53" s="189"/>
      <c r="E53" s="182"/>
      <c r="F53" s="182"/>
      <c r="G53" s="177"/>
      <c r="H53" s="178"/>
      <c r="I53" s="47"/>
      <c r="J53" s="177"/>
      <c r="K53" s="166"/>
      <c r="L53" s="130"/>
      <c r="M53" s="165"/>
      <c r="N53" s="166"/>
      <c r="O53" s="130"/>
      <c r="P53" s="165"/>
      <c r="Q53" s="166"/>
      <c r="R53" s="130"/>
      <c r="S53" s="165"/>
      <c r="T53" s="166"/>
      <c r="U53" s="130"/>
      <c r="V53" s="165"/>
      <c r="W53" s="166"/>
      <c r="X53" s="130"/>
      <c r="Y53" s="165"/>
      <c r="Z53" s="166"/>
    </row>
    <row r="54" spans="1:26">
      <c r="A54" s="177"/>
      <c r="B54" s="47"/>
      <c r="C54" s="47"/>
      <c r="D54" s="177"/>
      <c r="E54" s="178"/>
      <c r="F54" s="47"/>
      <c r="G54" s="177"/>
      <c r="H54" s="178"/>
      <c r="I54" s="47"/>
      <c r="J54" s="177"/>
      <c r="K54" s="166"/>
      <c r="L54" s="130"/>
      <c r="M54" s="165"/>
      <c r="N54" s="166"/>
      <c r="O54" s="130"/>
      <c r="P54" s="165"/>
      <c r="Q54" s="166"/>
      <c r="R54" s="130"/>
      <c r="S54" s="165"/>
      <c r="T54" s="166"/>
      <c r="U54" s="130"/>
      <c r="V54" s="165"/>
      <c r="W54" s="166"/>
      <c r="X54" s="130"/>
      <c r="Y54" s="165"/>
      <c r="Z54" s="166"/>
    </row>
    <row r="55" spans="1:26">
      <c r="A55" s="175"/>
      <c r="B55" s="159"/>
      <c r="C55" s="159"/>
      <c r="D55" s="175"/>
      <c r="E55" s="176"/>
      <c r="F55" s="130"/>
      <c r="G55" s="165"/>
      <c r="H55" s="166"/>
      <c r="I55" s="130"/>
      <c r="J55" s="165"/>
      <c r="K55" s="166"/>
      <c r="L55" s="130"/>
      <c r="M55" s="165"/>
      <c r="N55" s="166"/>
      <c r="O55" s="130"/>
      <c r="P55" s="165"/>
      <c r="Q55" s="166"/>
      <c r="R55" s="130"/>
      <c r="S55" s="165"/>
      <c r="T55" s="166"/>
      <c r="U55" s="130"/>
      <c r="V55" s="165"/>
      <c r="W55" s="166"/>
      <c r="X55" s="130"/>
      <c r="Y55" s="165"/>
      <c r="Z55" s="166"/>
    </row>
    <row r="56" spans="1:26">
      <c r="A56" s="335" t="s">
        <v>186</v>
      </c>
      <c r="B56" s="324"/>
      <c r="C56" s="130"/>
      <c r="D56" s="165"/>
      <c r="E56" s="166"/>
      <c r="F56" s="130"/>
      <c r="G56" s="165"/>
      <c r="H56" s="166"/>
      <c r="I56" s="130"/>
      <c r="J56" s="165"/>
      <c r="K56" s="166"/>
      <c r="L56" s="130"/>
      <c r="M56" s="165"/>
      <c r="N56" s="166"/>
      <c r="O56" s="130"/>
      <c r="P56" s="165"/>
      <c r="Q56" s="166"/>
      <c r="R56" s="130"/>
      <c r="S56" s="165"/>
      <c r="T56" s="166"/>
      <c r="U56" s="130"/>
      <c r="V56" s="165"/>
      <c r="W56" s="166"/>
      <c r="X56" s="130"/>
      <c r="Y56" s="165"/>
      <c r="Z56" s="166"/>
    </row>
    <row r="57" spans="1:26">
      <c r="A57" s="165" t="s">
        <v>187</v>
      </c>
      <c r="B57" s="130"/>
      <c r="C57" s="130"/>
      <c r="D57" s="167">
        <f>+E32*2%</f>
        <v>2590</v>
      </c>
      <c r="E57" s="166"/>
      <c r="F57" s="130"/>
      <c r="G57" s="167">
        <f>+H32*2%</f>
        <v>3160.5</v>
      </c>
      <c r="H57" s="166"/>
      <c r="I57" s="130"/>
      <c r="J57" s="167">
        <f>+K32*2%</f>
        <v>3627.2249999999999</v>
      </c>
      <c r="K57" s="166"/>
      <c r="L57" s="130"/>
      <c r="M57" s="167">
        <f>+N32*2%</f>
        <v>3808.5862500000003</v>
      </c>
      <c r="N57" s="166"/>
      <c r="O57" s="130"/>
      <c r="P57" s="167">
        <f>+Q32*2%</f>
        <v>4339.3573125000003</v>
      </c>
      <c r="Q57" s="166"/>
      <c r="R57" s="130"/>
      <c r="S57" s="167">
        <f>+T32*2%</f>
        <v>4556.325178125001</v>
      </c>
      <c r="T57" s="166"/>
      <c r="U57" s="130"/>
      <c r="V57" s="167">
        <f>+W32*2%</f>
        <v>5159.3682164062511</v>
      </c>
      <c r="W57" s="166"/>
      <c r="X57" s="130"/>
      <c r="Y57" s="167">
        <f>+Z32*2%</f>
        <v>5417.3366272265639</v>
      </c>
      <c r="Z57" s="166"/>
    </row>
    <row r="58" spans="1:26">
      <c r="A58" s="165"/>
      <c r="B58" s="130" t="s">
        <v>172</v>
      </c>
      <c r="C58" s="130"/>
      <c r="D58" s="165"/>
      <c r="E58" s="170">
        <f>+D57</f>
        <v>2590</v>
      </c>
      <c r="F58" s="55"/>
      <c r="G58" s="165"/>
      <c r="H58" s="170">
        <f>+G57</f>
        <v>3160.5</v>
      </c>
      <c r="I58" s="55"/>
      <c r="J58" s="165"/>
      <c r="K58" s="170">
        <f>+J57</f>
        <v>3627.2249999999999</v>
      </c>
      <c r="L58" s="55"/>
      <c r="M58" s="165"/>
      <c r="N58" s="170">
        <f>+M57</f>
        <v>3808.5862500000003</v>
      </c>
      <c r="O58" s="55"/>
      <c r="P58" s="165"/>
      <c r="Q58" s="170">
        <f>+P57</f>
        <v>4339.3573125000003</v>
      </c>
      <c r="R58" s="55"/>
      <c r="S58" s="165"/>
      <c r="T58" s="170">
        <f>+S57</f>
        <v>4556.325178125001</v>
      </c>
      <c r="U58" s="55"/>
      <c r="V58" s="165"/>
      <c r="W58" s="170">
        <f>+V57</f>
        <v>5159.3682164062511</v>
      </c>
      <c r="X58" s="55"/>
      <c r="Y58" s="165"/>
      <c r="Z58" s="170">
        <f>+Y57</f>
        <v>5417.3366272265639</v>
      </c>
    </row>
    <row r="59" spans="1:26">
      <c r="A59" s="165"/>
      <c r="B59" s="130"/>
      <c r="C59" s="130"/>
      <c r="D59" s="165"/>
      <c r="E59" s="166"/>
      <c r="F59" s="130"/>
      <c r="G59" s="165"/>
      <c r="H59" s="166"/>
      <c r="I59" s="130"/>
      <c r="J59" s="165"/>
      <c r="K59" s="166"/>
      <c r="L59" s="130"/>
      <c r="M59" s="165"/>
      <c r="N59" s="166"/>
      <c r="O59" s="130"/>
      <c r="P59" s="165"/>
      <c r="Q59" s="166"/>
      <c r="R59" s="130"/>
      <c r="S59" s="165"/>
      <c r="T59" s="166"/>
      <c r="U59" s="130"/>
      <c r="V59" s="165"/>
      <c r="W59" s="166"/>
      <c r="X59" s="130"/>
      <c r="Y59" s="165"/>
      <c r="Z59" s="166"/>
    </row>
    <row r="60" spans="1:26">
      <c r="A60" s="165"/>
      <c r="B60" s="130"/>
      <c r="C60" s="130"/>
      <c r="D60" s="165"/>
      <c r="E60" s="166"/>
      <c r="F60" s="130"/>
      <c r="G60" s="165"/>
      <c r="H60" s="166"/>
      <c r="I60" s="130"/>
      <c r="J60" s="165"/>
      <c r="K60" s="166"/>
      <c r="L60" s="130"/>
      <c r="M60" s="165"/>
      <c r="N60" s="166"/>
      <c r="O60" s="130"/>
      <c r="P60" s="165"/>
      <c r="Q60" s="166"/>
      <c r="R60" s="130"/>
      <c r="S60" s="165"/>
      <c r="T60" s="166"/>
      <c r="U60" s="130"/>
      <c r="V60" s="165"/>
      <c r="W60" s="166"/>
      <c r="X60" s="130"/>
      <c r="Y60" s="165"/>
      <c r="Z60" s="166"/>
    </row>
    <row r="61" spans="1:26" ht="45" customHeight="1">
      <c r="A61" s="335" t="s">
        <v>188</v>
      </c>
      <c r="B61" s="324"/>
      <c r="C61" s="130"/>
      <c r="D61" s="165"/>
      <c r="E61" s="166"/>
      <c r="F61" s="130"/>
      <c r="G61" s="165"/>
      <c r="H61" s="166"/>
      <c r="I61" s="130"/>
      <c r="J61" s="165"/>
      <c r="K61" s="166"/>
      <c r="L61" s="130"/>
      <c r="M61" s="165"/>
      <c r="N61" s="166"/>
      <c r="O61" s="130"/>
      <c r="P61" s="165"/>
      <c r="Q61" s="166"/>
      <c r="R61" s="130"/>
      <c r="S61" s="165"/>
      <c r="T61" s="166"/>
      <c r="U61" s="130"/>
      <c r="V61" s="165"/>
      <c r="W61" s="166"/>
      <c r="X61" s="130"/>
      <c r="Y61" s="165"/>
      <c r="Z61" s="166"/>
    </row>
    <row r="62" spans="1:26">
      <c r="A62" s="175" t="s">
        <v>189</v>
      </c>
      <c r="B62" s="159"/>
      <c r="C62" s="159"/>
      <c r="D62" s="179">
        <f>+'ESTADOS FINANCIEROS'!C186+'ESTADOS FINANCIEROS'!C187</f>
        <v>24000</v>
      </c>
      <c r="E62" s="176"/>
      <c r="F62" s="159"/>
      <c r="G62" s="179">
        <f>+'ESTADOS FINANCIEROS'!P124</f>
        <v>6000</v>
      </c>
      <c r="H62" s="176"/>
      <c r="I62" s="159"/>
      <c r="J62" s="179">
        <f>+'ESTADOS FINANCIEROS'!P125</f>
        <v>6000</v>
      </c>
      <c r="K62" s="176"/>
      <c r="L62" s="159"/>
      <c r="M62" s="179">
        <f>+'ESTADOS FINANCIEROS'!P126</f>
        <v>6000</v>
      </c>
      <c r="N62" s="176"/>
      <c r="O62" s="159"/>
      <c r="P62" s="179">
        <f>+'ESTADOS FINANCIEROS'!P127</f>
        <v>6000</v>
      </c>
      <c r="Q62" s="176"/>
      <c r="R62" s="159"/>
      <c r="S62" s="179">
        <f>+'ESTADOS FINANCIEROS'!P126</f>
        <v>6000</v>
      </c>
      <c r="T62" s="176"/>
      <c r="U62" s="159"/>
      <c r="V62" s="179">
        <f>+'ESTADOS FINANCIEROS'!P127</f>
        <v>6000</v>
      </c>
      <c r="W62" s="176"/>
      <c r="X62" s="159"/>
      <c r="Y62" s="179">
        <f>+'ESTADOS FINANCIEROS'!P128</f>
        <v>6000</v>
      </c>
      <c r="Z62" s="176"/>
    </row>
    <row r="63" spans="1:26">
      <c r="A63" s="175" t="s">
        <v>174</v>
      </c>
      <c r="B63" s="159"/>
      <c r="C63" s="159"/>
      <c r="D63" s="175"/>
      <c r="E63" s="176"/>
      <c r="F63" s="159"/>
      <c r="G63" s="175"/>
      <c r="H63" s="176"/>
      <c r="I63" s="159"/>
      <c r="J63" s="175"/>
      <c r="K63" s="176"/>
      <c r="L63" s="159"/>
      <c r="M63" s="175"/>
      <c r="N63" s="176"/>
      <c r="O63" s="159"/>
      <c r="P63" s="175"/>
      <c r="Q63" s="176"/>
      <c r="R63" s="159"/>
      <c r="S63" s="175"/>
      <c r="T63" s="176"/>
      <c r="U63" s="159"/>
      <c r="V63" s="175"/>
      <c r="W63" s="176"/>
      <c r="X63" s="159"/>
      <c r="Y63" s="175"/>
      <c r="Z63" s="176"/>
    </row>
    <row r="64" spans="1:26">
      <c r="A64" s="165"/>
      <c r="B64" s="130" t="s">
        <v>172</v>
      </c>
      <c r="C64" s="130"/>
      <c r="D64" s="165"/>
      <c r="E64" s="170">
        <f>+D62</f>
        <v>24000</v>
      </c>
      <c r="F64" s="55"/>
      <c r="G64" s="167"/>
      <c r="H64" s="170">
        <f>+G62</f>
        <v>6000</v>
      </c>
      <c r="I64" s="55"/>
      <c r="J64" s="167"/>
      <c r="K64" s="170">
        <f>+J62</f>
        <v>6000</v>
      </c>
      <c r="L64" s="55"/>
      <c r="M64" s="167"/>
      <c r="N64" s="170">
        <f>+M62</f>
        <v>6000</v>
      </c>
      <c r="O64" s="55"/>
      <c r="P64" s="167"/>
      <c r="Q64" s="170">
        <f>+P62</f>
        <v>6000</v>
      </c>
      <c r="R64" s="55"/>
      <c r="S64" s="167"/>
      <c r="T64" s="170">
        <f>+S62</f>
        <v>6000</v>
      </c>
      <c r="U64" s="55"/>
      <c r="V64" s="167"/>
      <c r="W64" s="170">
        <f>+V62</f>
        <v>6000</v>
      </c>
      <c r="X64" s="55"/>
      <c r="Y64" s="167"/>
      <c r="Z64" s="170">
        <f>+Y62</f>
        <v>6000</v>
      </c>
    </row>
    <row r="65" spans="1:26">
      <c r="A65" s="165"/>
      <c r="B65" s="130"/>
      <c r="C65" s="130"/>
      <c r="D65" s="165"/>
      <c r="E65" s="166"/>
      <c r="F65" s="130"/>
      <c r="G65" s="165"/>
      <c r="H65" s="166"/>
      <c r="I65" s="130"/>
      <c r="J65" s="165"/>
      <c r="K65" s="166"/>
      <c r="L65" s="130"/>
      <c r="M65" s="165"/>
      <c r="N65" s="166"/>
      <c r="O65" s="130"/>
      <c r="P65" s="165"/>
      <c r="Q65" s="166"/>
      <c r="R65" s="130"/>
      <c r="S65" s="165"/>
      <c r="T65" s="166"/>
      <c r="U65" s="130"/>
      <c r="V65" s="165"/>
      <c r="W65" s="166"/>
      <c r="X65" s="130"/>
      <c r="Y65" s="165"/>
      <c r="Z65" s="166"/>
    </row>
    <row r="66" spans="1:26" ht="45" customHeight="1">
      <c r="A66" s="335" t="s">
        <v>190</v>
      </c>
      <c r="B66" s="324"/>
      <c r="C66" s="130"/>
      <c r="D66" s="165"/>
      <c r="E66" s="166"/>
      <c r="F66" s="130"/>
      <c r="G66" s="165"/>
      <c r="H66" s="166"/>
      <c r="I66" s="130"/>
      <c r="J66" s="165"/>
      <c r="K66" s="166"/>
      <c r="L66" s="130"/>
      <c r="M66" s="165"/>
      <c r="N66" s="166"/>
      <c r="O66" s="130"/>
      <c r="P66" s="165"/>
      <c r="Q66" s="166"/>
      <c r="R66" s="130"/>
      <c r="S66" s="165"/>
      <c r="T66" s="166"/>
      <c r="U66" s="130"/>
      <c r="V66" s="165"/>
      <c r="W66" s="166"/>
      <c r="X66" s="130"/>
      <c r="Y66" s="165"/>
      <c r="Z66" s="166"/>
    </row>
    <row r="67" spans="1:26" ht="30">
      <c r="A67" s="165" t="s">
        <v>191</v>
      </c>
      <c r="B67" s="130"/>
      <c r="C67" s="130"/>
      <c r="D67" s="167">
        <f>+'ESTADOS FINANCIEROS'!Q102+'ESTADOS FINANCIEROS'!Q118</f>
        <v>3333.333333333333</v>
      </c>
      <c r="E67" s="166"/>
      <c r="F67" s="130"/>
      <c r="G67" s="165"/>
      <c r="H67" s="166"/>
      <c r="I67" s="130"/>
      <c r="J67" s="165"/>
      <c r="K67" s="166"/>
      <c r="L67" s="130"/>
      <c r="M67" s="165"/>
      <c r="N67" s="166"/>
      <c r="O67" s="130"/>
      <c r="P67" s="165"/>
      <c r="Q67" s="166"/>
      <c r="R67" s="130"/>
      <c r="S67" s="165"/>
      <c r="T67" s="166"/>
      <c r="U67" s="130"/>
      <c r="V67" s="165"/>
      <c r="W67" s="166"/>
      <c r="X67" s="130"/>
      <c r="Y67" s="165"/>
      <c r="Z67" s="166"/>
    </row>
    <row r="68" spans="1:26">
      <c r="A68" s="165"/>
      <c r="B68" s="130" t="s">
        <v>192</v>
      </c>
      <c r="C68" s="130"/>
      <c r="D68" s="165"/>
      <c r="E68" s="170">
        <f>+D67</f>
        <v>3333.333333333333</v>
      </c>
      <c r="F68" s="55"/>
      <c r="G68" s="167"/>
      <c r="H68" s="170"/>
      <c r="I68" s="55"/>
      <c r="J68" s="167"/>
      <c r="K68" s="170"/>
      <c r="L68" s="55"/>
      <c r="M68" s="167"/>
      <c r="N68" s="170"/>
      <c r="O68" s="55"/>
      <c r="P68" s="167"/>
      <c r="Q68" s="170"/>
      <c r="R68" s="55"/>
      <c r="S68" s="167"/>
      <c r="T68" s="170"/>
      <c r="U68" s="55"/>
      <c r="V68" s="167"/>
      <c r="W68" s="170"/>
      <c r="X68" s="55"/>
      <c r="Y68" s="167"/>
      <c r="Z68" s="170"/>
    </row>
    <row r="69" spans="1:26">
      <c r="A69" s="175"/>
      <c r="B69" s="159"/>
      <c r="C69" s="159"/>
      <c r="D69" s="175"/>
      <c r="E69" s="176"/>
      <c r="F69" s="159"/>
      <c r="G69" s="175"/>
      <c r="H69" s="176"/>
      <c r="I69" s="159"/>
      <c r="J69" s="175"/>
      <c r="K69" s="176"/>
      <c r="L69" s="159"/>
      <c r="M69" s="175"/>
      <c r="N69" s="176"/>
      <c r="O69" s="159"/>
      <c r="P69" s="175"/>
      <c r="Q69" s="176"/>
      <c r="R69" s="159"/>
      <c r="S69" s="175"/>
      <c r="T69" s="176"/>
      <c r="U69" s="159"/>
      <c r="V69" s="175"/>
      <c r="W69" s="176"/>
      <c r="X69" s="159"/>
      <c r="Y69" s="175"/>
      <c r="Z69" s="176"/>
    </row>
    <row r="70" spans="1:26">
      <c r="A70" s="335" t="s">
        <v>193</v>
      </c>
      <c r="B70" s="324"/>
      <c r="C70" s="130"/>
      <c r="D70" s="165"/>
      <c r="E70" s="166"/>
      <c r="F70" s="130"/>
      <c r="G70" s="165"/>
      <c r="H70" s="166"/>
      <c r="I70" s="130"/>
      <c r="J70" s="165"/>
      <c r="K70" s="166"/>
      <c r="L70" s="130"/>
      <c r="M70" s="165"/>
      <c r="N70" s="166"/>
      <c r="O70" s="130"/>
      <c r="P70" s="165"/>
      <c r="Q70" s="166"/>
      <c r="R70" s="130"/>
      <c r="S70" s="165"/>
      <c r="T70" s="166"/>
      <c r="U70" s="130"/>
      <c r="V70" s="165"/>
      <c r="W70" s="166"/>
      <c r="X70" s="130"/>
      <c r="Y70" s="165"/>
      <c r="Z70" s="166"/>
    </row>
    <row r="71" spans="1:26" ht="45">
      <c r="A71" s="165" t="s">
        <v>264</v>
      </c>
      <c r="B71" s="130"/>
      <c r="C71" s="130"/>
      <c r="D71" s="167">
        <v>4000</v>
      </c>
      <c r="E71" s="166"/>
      <c r="F71" s="130"/>
      <c r="G71" s="167">
        <v>0</v>
      </c>
      <c r="H71" s="166"/>
      <c r="I71" s="130"/>
      <c r="J71" s="167">
        <v>0</v>
      </c>
      <c r="K71" s="166"/>
      <c r="L71" s="130"/>
      <c r="M71" s="167">
        <v>0</v>
      </c>
      <c r="N71" s="166"/>
      <c r="O71" s="130"/>
      <c r="P71" s="167">
        <v>0</v>
      </c>
      <c r="Q71" s="166"/>
      <c r="R71" s="130"/>
      <c r="S71" s="167">
        <v>0</v>
      </c>
      <c r="T71" s="166"/>
      <c r="U71" s="130"/>
      <c r="V71" s="167">
        <v>0</v>
      </c>
      <c r="W71" s="166"/>
      <c r="X71" s="130"/>
      <c r="Y71" s="167">
        <v>0</v>
      </c>
      <c r="Z71" s="166"/>
    </row>
    <row r="72" spans="1:26">
      <c r="A72" s="165"/>
      <c r="B72" s="130" t="s">
        <v>172</v>
      </c>
      <c r="C72" s="130"/>
      <c r="D72" s="165"/>
      <c r="E72" s="170">
        <f>+D71</f>
        <v>4000</v>
      </c>
      <c r="F72" s="55"/>
      <c r="G72" s="168"/>
      <c r="H72" s="169">
        <f>+G72</f>
        <v>0</v>
      </c>
      <c r="I72" s="193"/>
      <c r="J72" s="168"/>
      <c r="K72" s="169">
        <f>+J72</f>
        <v>0</v>
      </c>
      <c r="L72" s="193"/>
      <c r="M72" s="168"/>
      <c r="N72" s="169">
        <f>+M72</f>
        <v>0</v>
      </c>
      <c r="O72" s="193"/>
      <c r="P72" s="168"/>
      <c r="Q72" s="169">
        <f>+P72</f>
        <v>0</v>
      </c>
      <c r="R72" s="193"/>
      <c r="S72" s="168"/>
      <c r="T72" s="169">
        <f>+S72</f>
        <v>0</v>
      </c>
      <c r="U72" s="193"/>
      <c r="V72" s="168"/>
      <c r="W72" s="169">
        <f>+V72</f>
        <v>0</v>
      </c>
      <c r="X72" s="193"/>
      <c r="Y72" s="168"/>
      <c r="Z72" s="169">
        <f>+Y72</f>
        <v>0</v>
      </c>
    </row>
    <row r="73" spans="1:26">
      <c r="A73" s="165"/>
      <c r="B73" s="130"/>
      <c r="C73" s="130"/>
      <c r="D73" s="165"/>
      <c r="E73" s="166"/>
      <c r="F73" s="130"/>
      <c r="G73" s="165"/>
      <c r="H73" s="166"/>
      <c r="I73" s="130"/>
      <c r="J73" s="165"/>
      <c r="K73" s="166"/>
      <c r="L73" s="130"/>
      <c r="M73" s="165"/>
      <c r="N73" s="166"/>
      <c r="O73" s="130"/>
      <c r="P73" s="165"/>
      <c r="Q73" s="166"/>
      <c r="R73" s="130"/>
      <c r="S73" s="165"/>
      <c r="T73" s="166"/>
      <c r="U73" s="130"/>
      <c r="V73" s="165"/>
      <c r="W73" s="166"/>
      <c r="X73" s="130"/>
      <c r="Y73" s="165"/>
      <c r="Z73" s="166"/>
    </row>
    <row r="74" spans="1:26" ht="30">
      <c r="A74" s="175" t="s">
        <v>194</v>
      </c>
      <c r="B74" s="130"/>
      <c r="C74" s="130"/>
      <c r="D74" s="165"/>
      <c r="E74" s="166"/>
      <c r="F74" s="130"/>
      <c r="G74" s="165"/>
      <c r="H74" s="166"/>
      <c r="I74" s="130"/>
      <c r="J74" s="165"/>
      <c r="K74" s="166"/>
      <c r="L74" s="130"/>
      <c r="M74" s="165"/>
      <c r="N74" s="166"/>
      <c r="O74" s="130"/>
      <c r="P74" s="165"/>
      <c r="Q74" s="166"/>
      <c r="R74" s="130"/>
      <c r="S74" s="165"/>
      <c r="T74" s="166"/>
      <c r="U74" s="130"/>
      <c r="V74" s="165"/>
      <c r="W74" s="166"/>
      <c r="X74" s="130"/>
      <c r="Y74" s="165"/>
      <c r="Z74" s="166"/>
    </row>
    <row r="75" spans="1:26" ht="45">
      <c r="A75" s="165" t="s">
        <v>265</v>
      </c>
      <c r="B75" s="130"/>
      <c r="C75" s="130"/>
      <c r="D75" s="167">
        <v>2000</v>
      </c>
      <c r="E75" s="166"/>
      <c r="F75" s="130"/>
      <c r="G75" s="167">
        <v>2000</v>
      </c>
      <c r="H75" s="166"/>
      <c r="I75" s="130"/>
      <c r="J75" s="165"/>
      <c r="K75" s="166"/>
      <c r="L75" s="130"/>
      <c r="M75" s="165"/>
      <c r="N75" s="166"/>
      <c r="O75" s="130"/>
      <c r="P75" s="165"/>
      <c r="Q75" s="166"/>
      <c r="R75" s="130"/>
      <c r="S75" s="165"/>
      <c r="T75" s="166"/>
      <c r="U75" s="130"/>
      <c r="V75" s="165"/>
      <c r="W75" s="166"/>
      <c r="X75" s="130"/>
      <c r="Y75" s="165"/>
      <c r="Z75" s="166"/>
    </row>
    <row r="76" spans="1:26">
      <c r="A76" s="165"/>
      <c r="B76" s="130" t="s">
        <v>196</v>
      </c>
      <c r="C76" s="130"/>
      <c r="D76" s="165"/>
      <c r="E76" s="170">
        <f>+D75</f>
        <v>2000</v>
      </c>
      <c r="F76" s="55"/>
      <c r="G76" s="165"/>
      <c r="H76" s="170">
        <f>+G75</f>
        <v>2000</v>
      </c>
      <c r="I76" s="55"/>
      <c r="J76" s="167"/>
      <c r="K76" s="170"/>
      <c r="L76" s="55"/>
      <c r="M76" s="167"/>
      <c r="N76" s="170"/>
      <c r="O76" s="55"/>
      <c r="P76" s="167"/>
      <c r="Q76" s="170"/>
      <c r="R76" s="55"/>
      <c r="S76" s="167"/>
      <c r="T76" s="170"/>
      <c r="U76" s="55"/>
      <c r="V76" s="167"/>
      <c r="W76" s="170"/>
      <c r="X76" s="55"/>
      <c r="Y76" s="167"/>
      <c r="Z76" s="170"/>
    </row>
    <row r="77" spans="1:26">
      <c r="A77" s="175"/>
      <c r="B77" s="159"/>
      <c r="C77" s="159"/>
      <c r="D77" s="175"/>
      <c r="E77" s="176"/>
      <c r="F77" s="159"/>
      <c r="G77" s="175"/>
      <c r="H77" s="176"/>
      <c r="I77" s="159"/>
      <c r="J77" s="175"/>
      <c r="K77" s="176"/>
      <c r="L77" s="159"/>
      <c r="M77" s="175"/>
      <c r="N77" s="176"/>
      <c r="O77" s="159"/>
      <c r="P77" s="175"/>
      <c r="Q77" s="176"/>
      <c r="R77" s="159"/>
      <c r="S77" s="175"/>
      <c r="T77" s="176"/>
      <c r="U77" s="159"/>
      <c r="V77" s="175"/>
      <c r="W77" s="176"/>
      <c r="X77" s="159"/>
      <c r="Y77" s="175"/>
      <c r="Z77" s="176"/>
    </row>
    <row r="78" spans="1:26" ht="35.25" customHeight="1">
      <c r="A78" s="335" t="s">
        <v>195</v>
      </c>
      <c r="B78" s="324"/>
      <c r="C78" s="130"/>
      <c r="D78" s="165"/>
      <c r="E78" s="166"/>
      <c r="F78" s="130"/>
      <c r="G78" s="165"/>
      <c r="H78" s="166"/>
      <c r="I78" s="130"/>
      <c r="J78" s="165"/>
      <c r="K78" s="166"/>
      <c r="L78" s="130"/>
      <c r="M78" s="165"/>
      <c r="N78" s="166"/>
      <c r="O78" s="130"/>
      <c r="P78" s="165"/>
      <c r="Q78" s="166"/>
      <c r="R78" s="130"/>
      <c r="S78" s="165"/>
      <c r="T78" s="166"/>
      <c r="U78" s="130"/>
      <c r="V78" s="165"/>
      <c r="W78" s="166"/>
      <c r="X78" s="130"/>
      <c r="Y78" s="165"/>
      <c r="Z78" s="166"/>
    </row>
    <row r="79" spans="1:26" ht="30">
      <c r="A79" s="165" t="s">
        <v>197</v>
      </c>
      <c r="B79" s="130"/>
      <c r="C79" s="130"/>
      <c r="D79" s="167">
        <f>+'ESTADOS FINANCIEROS'!C96</f>
        <v>43600</v>
      </c>
      <c r="E79" s="166"/>
      <c r="F79" s="130"/>
      <c r="G79" s="167">
        <f>+'ESTADOS FINANCIEROS'!D96</f>
        <v>42840</v>
      </c>
      <c r="H79" s="166"/>
      <c r="I79" s="130"/>
      <c r="J79" s="167">
        <f>+'ESTADOS FINANCIEROS'!E96</f>
        <v>44982</v>
      </c>
      <c r="K79" s="166"/>
      <c r="L79" s="130"/>
      <c r="M79" s="167">
        <f>+'ESTADOS FINANCIEROS'!F96</f>
        <v>47231.100000000006</v>
      </c>
      <c r="N79" s="166"/>
      <c r="O79" s="130"/>
      <c r="P79" s="167">
        <f>+'ESTADOS FINANCIEROS'!G96</f>
        <v>49592.655000000006</v>
      </c>
      <c r="Q79" s="166"/>
      <c r="R79" s="130"/>
      <c r="S79" s="167">
        <f>+'ESTADOS FINANCIEROS'!H96</f>
        <v>52072.28775000001</v>
      </c>
      <c r="T79" s="166"/>
      <c r="U79" s="130"/>
      <c r="V79" s="167">
        <f>+'ESTADOS FINANCIEROS'!I96</f>
        <v>54675.902137500016</v>
      </c>
      <c r="W79" s="166"/>
      <c r="X79" s="130"/>
      <c r="Y79" s="167">
        <f>+'ESTADOS FINANCIEROS'!J96</f>
        <v>57409.697244375013</v>
      </c>
      <c r="Z79" s="166"/>
    </row>
    <row r="80" spans="1:26" ht="30">
      <c r="A80" s="165" t="s">
        <v>198</v>
      </c>
      <c r="B80" s="130"/>
      <c r="C80" s="130"/>
      <c r="D80" s="167">
        <f>+'ESTADOS FINANCIEROS'!C99</f>
        <v>16800</v>
      </c>
      <c r="E80" s="170"/>
      <c r="F80" s="55"/>
      <c r="G80" s="167">
        <f>+'ESTADOS FINANCIEROS'!D99</f>
        <v>17640</v>
      </c>
      <c r="H80" s="170"/>
      <c r="I80" s="55"/>
      <c r="J80" s="167">
        <f>+'ESTADOS FINANCIEROS'!E99</f>
        <v>18522</v>
      </c>
      <c r="K80" s="170"/>
      <c r="L80" s="55"/>
      <c r="M80" s="167">
        <f>+'ESTADOS FINANCIEROS'!F99</f>
        <v>19448.100000000002</v>
      </c>
      <c r="N80" s="170"/>
      <c r="O80" s="55"/>
      <c r="P80" s="167">
        <f>+'ESTADOS FINANCIEROS'!G99</f>
        <v>20420.505000000005</v>
      </c>
      <c r="Q80" s="170"/>
      <c r="R80" s="55"/>
      <c r="S80" s="167">
        <f>+'ESTADOS FINANCIEROS'!H99</f>
        <v>21441.530250000007</v>
      </c>
      <c r="T80" s="170"/>
      <c r="U80" s="55"/>
      <c r="V80" s="167">
        <f>+'ESTADOS FINANCIEROS'!I99</f>
        <v>22513.606762500007</v>
      </c>
      <c r="W80" s="170"/>
      <c r="X80" s="55"/>
      <c r="Y80" s="167">
        <f>+'ESTADOS FINANCIEROS'!J99</f>
        <v>23639.28710062501</v>
      </c>
      <c r="Z80" s="170"/>
    </row>
    <row r="81" spans="1:26">
      <c r="A81" s="165" t="s">
        <v>199</v>
      </c>
      <c r="B81" s="130"/>
      <c r="C81" s="130"/>
      <c r="D81" s="167">
        <f>+'ESTADOS FINANCIEROS'!C105</f>
        <v>14870</v>
      </c>
      <c r="E81" s="166"/>
      <c r="F81" s="130"/>
      <c r="G81" s="167">
        <f>+'ESTADOS FINANCIEROS'!D105</f>
        <v>18755</v>
      </c>
      <c r="H81" s="166"/>
      <c r="I81" s="130"/>
      <c r="J81" s="167">
        <f>+'ESTADOS FINANCIEROS'!E105</f>
        <v>20495.75</v>
      </c>
      <c r="K81" s="166"/>
      <c r="L81" s="130"/>
      <c r="M81" s="167">
        <f>+'ESTADOS FINANCIEROS'!F105</f>
        <v>21972.297500000001</v>
      </c>
      <c r="N81" s="166"/>
      <c r="O81" s="130"/>
      <c r="P81" s="167">
        <f>+'ESTADOS FINANCIEROS'!G105</f>
        <v>23779.486775000001</v>
      </c>
      <c r="Q81" s="166"/>
      <c r="R81" s="130"/>
      <c r="S81" s="167">
        <f>+'ESTADOS FINANCIEROS'!H105</f>
        <v>26713.448249750003</v>
      </c>
      <c r="T81" s="166"/>
      <c r="U81" s="130"/>
      <c r="V81" s="167">
        <f>+'ESTADOS FINANCIEROS'!I105</f>
        <v>34599.742138077498</v>
      </c>
      <c r="W81" s="166"/>
      <c r="X81" s="130"/>
      <c r="Y81" s="167">
        <f>+'ESTADOS FINANCIEROS'!J105</f>
        <v>43889.484170190975</v>
      </c>
      <c r="Z81" s="166"/>
    </row>
    <row r="82" spans="1:26">
      <c r="A82" s="165"/>
      <c r="B82" s="130" t="s">
        <v>172</v>
      </c>
      <c r="C82" s="130"/>
      <c r="D82" s="165"/>
      <c r="E82" s="170">
        <f>SUM(D79:D81)</f>
        <v>75270</v>
      </c>
      <c r="F82" s="55"/>
      <c r="G82" s="167"/>
      <c r="H82" s="170">
        <f>SUM(G79:G81)</f>
        <v>79235</v>
      </c>
      <c r="I82" s="55"/>
      <c r="J82" s="167"/>
      <c r="K82" s="170">
        <f>SUM(J79:J81)</f>
        <v>83999.75</v>
      </c>
      <c r="L82" s="55"/>
      <c r="M82" s="167"/>
      <c r="N82" s="170">
        <f>SUM(M79:M81)</f>
        <v>88651.497500000012</v>
      </c>
      <c r="O82" s="55"/>
      <c r="P82" s="167"/>
      <c r="Q82" s="170">
        <f>SUM(P79:P81)</f>
        <v>93792.646775000001</v>
      </c>
      <c r="R82" s="55"/>
      <c r="S82" s="167"/>
      <c r="T82" s="170">
        <f>SUM(S79:S81)</f>
        <v>100227.26624975001</v>
      </c>
      <c r="U82" s="55"/>
      <c r="V82" s="167"/>
      <c r="W82" s="170">
        <f>SUM(V79:V81)</f>
        <v>111789.25103807752</v>
      </c>
      <c r="X82" s="55"/>
      <c r="Y82" s="167"/>
      <c r="Z82" s="170">
        <f>SUM(Y79:Y81)</f>
        <v>124938.46851519099</v>
      </c>
    </row>
    <row r="83" spans="1:26">
      <c r="A83" s="165"/>
      <c r="B83" s="130"/>
      <c r="C83" s="130"/>
      <c r="D83" s="165"/>
      <c r="E83" s="166"/>
      <c r="F83" s="130"/>
      <c r="G83" s="165"/>
      <c r="H83" s="166"/>
      <c r="I83" s="130"/>
      <c r="J83" s="165"/>
      <c r="K83" s="166"/>
      <c r="L83" s="130"/>
      <c r="M83" s="165"/>
      <c r="N83" s="166"/>
      <c r="O83" s="130"/>
      <c r="P83" s="165"/>
      <c r="Q83" s="166"/>
      <c r="R83" s="130"/>
      <c r="S83" s="165"/>
      <c r="T83" s="166"/>
      <c r="U83" s="130"/>
      <c r="V83" s="165"/>
      <c r="W83" s="166"/>
      <c r="X83" s="130"/>
      <c r="Y83" s="165"/>
      <c r="Z83" s="166"/>
    </row>
    <row r="84" spans="1:26" ht="43.5" customHeight="1">
      <c r="A84" s="335" t="s">
        <v>203</v>
      </c>
      <c r="B84" s="324"/>
      <c r="C84" s="130"/>
      <c r="D84" s="165"/>
      <c r="E84" s="166"/>
      <c r="F84" s="130"/>
      <c r="G84" s="165"/>
      <c r="H84" s="166"/>
      <c r="I84" s="130"/>
      <c r="J84" s="165"/>
      <c r="K84" s="166"/>
      <c r="L84" s="130"/>
      <c r="M84" s="165"/>
      <c r="N84" s="166"/>
      <c r="O84" s="130"/>
      <c r="P84" s="165"/>
      <c r="Q84" s="166"/>
      <c r="R84" s="130"/>
      <c r="S84" s="165"/>
      <c r="T84" s="166"/>
      <c r="U84" s="130"/>
      <c r="V84" s="165"/>
      <c r="W84" s="166"/>
      <c r="X84" s="130"/>
      <c r="Y84" s="165"/>
      <c r="Z84" s="166"/>
    </row>
    <row r="85" spans="1:26">
      <c r="A85" s="165" t="s">
        <v>173</v>
      </c>
      <c r="B85" s="130"/>
      <c r="C85" s="130"/>
      <c r="D85" s="167">
        <v>0</v>
      </c>
      <c r="E85" s="170"/>
      <c r="F85" s="55"/>
      <c r="G85" s="167"/>
      <c r="H85" s="170"/>
      <c r="I85" s="55"/>
      <c r="J85" s="167"/>
      <c r="K85" s="170"/>
      <c r="L85" s="55"/>
      <c r="M85" s="167"/>
      <c r="N85" s="170"/>
      <c r="O85" s="55"/>
      <c r="P85" s="167"/>
      <c r="Q85" s="170"/>
      <c r="R85" s="55"/>
      <c r="S85" s="167"/>
      <c r="T85" s="170"/>
      <c r="U85" s="55"/>
      <c r="V85" s="167"/>
      <c r="W85" s="170"/>
      <c r="X85" s="55"/>
      <c r="Y85" s="167"/>
      <c r="Z85" s="170"/>
    </row>
    <row r="86" spans="1:26">
      <c r="A86" s="165"/>
      <c r="B86" s="130" t="s">
        <v>197</v>
      </c>
      <c r="C86" s="130"/>
      <c r="D86" s="167"/>
      <c r="E86" s="170">
        <v>0</v>
      </c>
      <c r="F86" s="55"/>
      <c r="G86" s="167"/>
      <c r="H86" s="170"/>
      <c r="I86" s="55"/>
      <c r="J86" s="167"/>
      <c r="K86" s="170"/>
      <c r="L86" s="55"/>
      <c r="M86" s="167"/>
      <c r="N86" s="170"/>
      <c r="O86" s="55"/>
      <c r="P86" s="167"/>
      <c r="Q86" s="170"/>
      <c r="R86" s="55"/>
      <c r="S86" s="167"/>
      <c r="T86" s="170"/>
      <c r="U86" s="55"/>
      <c r="V86" s="167"/>
      <c r="W86" s="170"/>
      <c r="X86" s="55"/>
      <c r="Y86" s="167"/>
      <c r="Z86" s="170"/>
    </row>
    <row r="87" spans="1:26">
      <c r="A87" s="165"/>
      <c r="B87" s="130" t="s">
        <v>198</v>
      </c>
      <c r="C87" s="130"/>
      <c r="D87" s="167"/>
      <c r="E87" s="170">
        <v>0</v>
      </c>
      <c r="F87" s="55"/>
      <c r="G87" s="167"/>
      <c r="H87" s="170"/>
      <c r="I87" s="55"/>
      <c r="J87" s="167"/>
      <c r="K87" s="170"/>
      <c r="L87" s="55"/>
      <c r="M87" s="167"/>
      <c r="N87" s="170"/>
      <c r="O87" s="55"/>
      <c r="P87" s="167"/>
      <c r="Q87" s="170"/>
      <c r="R87" s="55"/>
      <c r="S87" s="167"/>
      <c r="T87" s="170"/>
      <c r="U87" s="55"/>
      <c r="V87" s="167"/>
      <c r="W87" s="170"/>
      <c r="X87" s="55"/>
      <c r="Y87" s="167"/>
      <c r="Z87" s="170"/>
    </row>
    <row r="88" spans="1:26">
      <c r="A88" s="165"/>
      <c r="B88" s="130" t="s">
        <v>199</v>
      </c>
      <c r="C88" s="130"/>
      <c r="D88" s="165"/>
      <c r="E88" s="170">
        <v>0</v>
      </c>
      <c r="F88" s="55"/>
      <c r="G88" s="167"/>
      <c r="H88" s="170"/>
      <c r="I88" s="55"/>
      <c r="J88" s="167"/>
      <c r="K88" s="170"/>
      <c r="L88" s="55"/>
      <c r="M88" s="167"/>
      <c r="N88" s="170"/>
      <c r="O88" s="55"/>
      <c r="P88" s="167"/>
      <c r="Q88" s="170"/>
      <c r="R88" s="55"/>
      <c r="S88" s="167"/>
      <c r="T88" s="170"/>
      <c r="U88" s="55"/>
      <c r="V88" s="167"/>
      <c r="W88" s="170"/>
      <c r="X88" s="55"/>
      <c r="Y88" s="167"/>
      <c r="Z88" s="170"/>
    </row>
    <row r="89" spans="1:26">
      <c r="A89" s="165"/>
      <c r="B89" s="130" t="s">
        <v>205</v>
      </c>
      <c r="C89" s="130"/>
      <c r="D89" s="165"/>
      <c r="E89" s="170">
        <v>0</v>
      </c>
      <c r="F89" s="55"/>
      <c r="G89" s="167"/>
      <c r="H89" s="170"/>
      <c r="I89" s="55"/>
      <c r="J89" s="167"/>
      <c r="K89" s="170"/>
      <c r="L89" s="55"/>
      <c r="M89" s="167"/>
      <c r="N89" s="170"/>
      <c r="O89" s="55"/>
      <c r="P89" s="167"/>
      <c r="Q89" s="170"/>
      <c r="R89" s="55"/>
      <c r="S89" s="167"/>
      <c r="T89" s="170"/>
      <c r="U89" s="55"/>
      <c r="V89" s="167"/>
      <c r="W89" s="170"/>
      <c r="X89" s="55"/>
      <c r="Y89" s="167"/>
      <c r="Z89" s="170"/>
    </row>
    <row r="90" spans="1:26">
      <c r="A90" s="165"/>
      <c r="B90" s="130" t="s">
        <v>206</v>
      </c>
      <c r="C90" s="130"/>
      <c r="D90" s="165"/>
      <c r="E90" s="170">
        <v>0</v>
      </c>
      <c r="F90" s="55"/>
      <c r="G90" s="167"/>
      <c r="H90" s="170"/>
      <c r="I90" s="55"/>
      <c r="J90" s="167"/>
      <c r="K90" s="190">
        <f>+'ESTADOS FINANCIEROS'!E116</f>
        <v>8740.1548788794207</v>
      </c>
      <c r="L90" s="55"/>
      <c r="M90" s="167"/>
      <c r="N90" s="170"/>
      <c r="O90" s="55"/>
      <c r="P90" s="167"/>
      <c r="Q90" s="170"/>
      <c r="R90" s="55"/>
      <c r="S90" s="167"/>
      <c r="T90" s="170"/>
      <c r="U90" s="55"/>
      <c r="V90" s="167"/>
      <c r="W90" s="170"/>
      <c r="X90" s="55"/>
      <c r="Y90" s="167"/>
      <c r="Z90" s="170"/>
    </row>
    <row r="91" spans="1:26">
      <c r="A91" s="165"/>
      <c r="B91" s="130"/>
      <c r="C91" s="130"/>
      <c r="D91" s="165"/>
      <c r="E91" s="166"/>
      <c r="F91" s="130"/>
      <c r="G91" s="165"/>
      <c r="H91" s="166"/>
      <c r="I91" s="130"/>
      <c r="J91" s="165"/>
      <c r="K91" s="166"/>
      <c r="L91" s="130"/>
      <c r="M91" s="165"/>
      <c r="N91" s="166"/>
      <c r="O91" s="130"/>
      <c r="P91" s="165"/>
      <c r="Q91" s="166"/>
      <c r="R91" s="130"/>
      <c r="S91" s="165"/>
      <c r="T91" s="166"/>
      <c r="U91" s="130"/>
      <c r="V91" s="165"/>
      <c r="W91" s="166"/>
      <c r="X91" s="130"/>
      <c r="Y91" s="165"/>
      <c r="Z91" s="166"/>
    </row>
    <row r="92" spans="1:26" ht="39" customHeight="1">
      <c r="A92" s="335" t="s">
        <v>203</v>
      </c>
      <c r="B92" s="324"/>
      <c r="C92" s="130"/>
      <c r="D92" s="165"/>
      <c r="E92" s="166"/>
      <c r="F92" s="130"/>
      <c r="G92" s="165"/>
      <c r="H92" s="166"/>
      <c r="I92" s="130"/>
      <c r="J92" s="165"/>
      <c r="K92" s="166"/>
      <c r="L92" s="130"/>
      <c r="M92" s="165"/>
      <c r="N92" s="166"/>
      <c r="O92" s="130"/>
      <c r="P92" s="165"/>
      <c r="Q92" s="166"/>
      <c r="R92" s="130"/>
      <c r="S92" s="165"/>
      <c r="T92" s="166"/>
      <c r="U92" s="130"/>
      <c r="V92" s="165"/>
      <c r="W92" s="166"/>
      <c r="X92" s="130"/>
      <c r="Y92" s="165"/>
      <c r="Z92" s="166"/>
    </row>
    <row r="93" spans="1:26" ht="30">
      <c r="A93" s="165" t="s">
        <v>200</v>
      </c>
      <c r="B93" s="130"/>
      <c r="C93" s="130"/>
      <c r="D93" s="167">
        <v>0</v>
      </c>
      <c r="E93" s="170"/>
      <c r="F93" s="55"/>
      <c r="G93" s="167">
        <v>0</v>
      </c>
      <c r="H93" s="170"/>
      <c r="I93" s="55"/>
      <c r="J93" s="167">
        <f>SUM(K94:K95)</f>
        <v>2945.4321941823646</v>
      </c>
      <c r="K93" s="170"/>
      <c r="L93" s="55"/>
      <c r="M93" s="167">
        <f>SUM(N94:N95)</f>
        <v>3954.8613066099269</v>
      </c>
      <c r="N93" s="170"/>
      <c r="O93" s="55"/>
      <c r="P93" s="167">
        <f>SUM(Q94:Q95)</f>
        <v>8948.2039431460071</v>
      </c>
      <c r="Q93" s="170"/>
      <c r="R93" s="55"/>
      <c r="S93" s="167">
        <f>SUM(T94:T95)</f>
        <v>9576.6724465009211</v>
      </c>
      <c r="T93" s="170"/>
      <c r="U93" s="55"/>
      <c r="V93" s="167">
        <f>SUM(W94:W95)</f>
        <v>12898.847520759897</v>
      </c>
      <c r="W93" s="170"/>
      <c r="X93" s="55"/>
      <c r="Y93" s="167">
        <f>SUM(Z94:Z95)</f>
        <v>10928.752487002252</v>
      </c>
      <c r="Z93" s="170"/>
    </row>
    <row r="94" spans="1:26">
      <c r="A94" s="165"/>
      <c r="B94" s="130" t="s">
        <v>201</v>
      </c>
      <c r="C94" s="130"/>
      <c r="D94" s="167"/>
      <c r="E94" s="170">
        <v>0</v>
      </c>
      <c r="F94" s="55"/>
      <c r="G94" s="167"/>
      <c r="H94" s="170">
        <v>0</v>
      </c>
      <c r="I94" s="55"/>
      <c r="J94" s="167"/>
      <c r="K94" s="170">
        <f>+'ESTADOS FINANCIEROS'!E118</f>
        <v>1634.4089623504517</v>
      </c>
      <c r="L94" s="55"/>
      <c r="M94" s="167"/>
      <c r="N94" s="170">
        <f>+'ESTADOS FINANCIEROS'!F118</f>
        <v>2194.5372828963095</v>
      </c>
      <c r="O94" s="55"/>
      <c r="P94" s="167"/>
      <c r="Q94" s="170">
        <f>+'ESTADOS FINANCIEROS'!G118</f>
        <v>4965.3238497575767</v>
      </c>
      <c r="R94" s="55"/>
      <c r="S94" s="167"/>
      <c r="T94" s="170">
        <f>+'ESTADOS FINANCIEROS'!H118</f>
        <v>5314.0585979100069</v>
      </c>
      <c r="U94" s="55"/>
      <c r="V94" s="167"/>
      <c r="W94" s="170">
        <f>+'ESTADOS FINANCIEROS'!I118</f>
        <v>7157.5207311041568</v>
      </c>
      <c r="X94" s="55"/>
      <c r="Y94" s="167"/>
      <c r="Z94" s="170">
        <f>+'ESTADOS FINANCIEROS'!J118</f>
        <v>6064.3225966451664</v>
      </c>
    </row>
    <row r="95" spans="1:26">
      <c r="A95" s="165"/>
      <c r="B95" s="130" t="s">
        <v>202</v>
      </c>
      <c r="C95" s="130"/>
      <c r="D95" s="167"/>
      <c r="E95" s="170">
        <f>+'ESTADOS FINANCIEROS'!D111</f>
        <v>0</v>
      </c>
      <c r="F95" s="55"/>
      <c r="G95" s="167"/>
      <c r="H95" s="170">
        <f>+'ESTADOS FINANCIEROS'!G111</f>
        <v>0</v>
      </c>
      <c r="I95" s="55"/>
      <c r="J95" s="167"/>
      <c r="K95" s="170">
        <f>+'ESTADOS FINANCIEROS'!E117</f>
        <v>1311.0232318319131</v>
      </c>
      <c r="L95" s="55"/>
      <c r="M95" s="167"/>
      <c r="N95" s="170">
        <f>+'ESTADOS FINANCIEROS'!F117</f>
        <v>1760.3240237136172</v>
      </c>
      <c r="O95" s="55"/>
      <c r="P95" s="167"/>
      <c r="Q95" s="170">
        <f>+'ESTADOS FINANCIEROS'!G117</f>
        <v>3982.8800933884304</v>
      </c>
      <c r="R95" s="55"/>
      <c r="S95" s="167"/>
      <c r="T95" s="170">
        <f>+'ESTADOS FINANCIEROS'!H117</f>
        <v>4262.6138485909141</v>
      </c>
      <c r="U95" s="55"/>
      <c r="V95" s="167"/>
      <c r="W95" s="170">
        <f>+'ESTADOS FINANCIEROS'!I117</f>
        <v>5741.3267896557409</v>
      </c>
      <c r="X95" s="55"/>
      <c r="Y95" s="167"/>
      <c r="Z95" s="170">
        <f>+'ESTADOS FINANCIEROS'!J117</f>
        <v>4864.4298903570852</v>
      </c>
    </row>
    <row r="96" spans="1:26">
      <c r="A96" s="165"/>
      <c r="B96" s="130"/>
      <c r="C96" s="130"/>
      <c r="D96" s="165"/>
      <c r="E96" s="170"/>
      <c r="F96" s="55"/>
      <c r="G96" s="167"/>
      <c r="H96" s="170"/>
      <c r="I96" s="55"/>
      <c r="J96" s="167"/>
      <c r="K96" s="170"/>
      <c r="L96" s="55"/>
      <c r="M96" s="167"/>
      <c r="N96" s="170"/>
      <c r="O96" s="55"/>
      <c r="P96" s="167"/>
      <c r="Q96" s="170"/>
      <c r="R96" s="55"/>
      <c r="S96" s="167"/>
      <c r="T96" s="170"/>
      <c r="U96" s="55"/>
      <c r="V96" s="167"/>
      <c r="W96" s="170"/>
      <c r="X96" s="55"/>
      <c r="Y96" s="167"/>
      <c r="Z96" s="170"/>
    </row>
    <row r="97" spans="1:26" ht="51" customHeight="1">
      <c r="A97" s="336" t="s">
        <v>204</v>
      </c>
      <c r="B97" s="337"/>
      <c r="C97" s="195"/>
      <c r="D97" s="171"/>
      <c r="E97" s="172"/>
      <c r="F97" s="195"/>
      <c r="G97" s="171"/>
      <c r="H97" s="172"/>
      <c r="I97" s="195"/>
      <c r="J97" s="171"/>
      <c r="K97" s="172"/>
      <c r="L97" s="195"/>
      <c r="M97" s="171"/>
      <c r="N97" s="172"/>
      <c r="O97" s="195"/>
      <c r="P97" s="171"/>
      <c r="Q97" s="172"/>
      <c r="R97" s="195"/>
      <c r="S97" s="171"/>
      <c r="T97" s="172"/>
      <c r="U97" s="195"/>
      <c r="V97" s="171"/>
      <c r="W97" s="172"/>
      <c r="X97" s="195"/>
      <c r="Y97" s="171"/>
      <c r="Z97" s="172"/>
    </row>
    <row r="98" spans="1:26" ht="30">
      <c r="A98" s="171" t="s">
        <v>201</v>
      </c>
      <c r="B98" s="196"/>
      <c r="C98" s="196"/>
      <c r="D98" s="173">
        <v>0</v>
      </c>
      <c r="E98" s="172"/>
      <c r="F98" s="195"/>
      <c r="G98" s="173">
        <v>0</v>
      </c>
      <c r="H98" s="172"/>
      <c r="I98" s="195"/>
      <c r="J98" s="173">
        <v>0</v>
      </c>
      <c r="K98" s="172"/>
      <c r="L98" s="195"/>
      <c r="M98" s="173">
        <f>+K94</f>
        <v>1634.4089623504517</v>
      </c>
      <c r="N98" s="172"/>
      <c r="O98" s="195"/>
      <c r="P98" s="173">
        <f>+N94</f>
        <v>2194.5372828963095</v>
      </c>
      <c r="Q98" s="172"/>
      <c r="R98" s="195"/>
      <c r="S98" s="173">
        <f>+Q94</f>
        <v>4965.3238497575767</v>
      </c>
      <c r="T98" s="172"/>
      <c r="U98" s="195"/>
      <c r="V98" s="173">
        <f>+T94</f>
        <v>5314.0585979100069</v>
      </c>
      <c r="W98" s="172"/>
      <c r="X98" s="195"/>
      <c r="Y98" s="173">
        <f>+W94</f>
        <v>7157.5207311041568</v>
      </c>
      <c r="Z98" s="172"/>
    </row>
    <row r="99" spans="1:26" ht="30">
      <c r="A99" s="171" t="s">
        <v>202</v>
      </c>
      <c r="B99" s="196"/>
      <c r="C99" s="196"/>
      <c r="D99" s="173">
        <v>0</v>
      </c>
      <c r="E99" s="172"/>
      <c r="F99" s="195"/>
      <c r="G99" s="173">
        <v>0</v>
      </c>
      <c r="H99" s="172"/>
      <c r="I99" s="195"/>
      <c r="J99" s="173">
        <v>0</v>
      </c>
      <c r="K99" s="172"/>
      <c r="L99" s="195"/>
      <c r="M99" s="173">
        <f>+K95</f>
        <v>1311.0232318319131</v>
      </c>
      <c r="N99" s="172"/>
      <c r="O99" s="195"/>
      <c r="P99" s="173">
        <f>+N95</f>
        <v>1760.3240237136172</v>
      </c>
      <c r="Q99" s="172"/>
      <c r="R99" s="195"/>
      <c r="S99" s="173">
        <f>+Q95</f>
        <v>3982.8800933884304</v>
      </c>
      <c r="T99" s="172"/>
      <c r="U99" s="195"/>
      <c r="V99" s="173">
        <f>+T95</f>
        <v>4262.6138485909141</v>
      </c>
      <c r="W99" s="172"/>
      <c r="X99" s="195"/>
      <c r="Y99" s="173">
        <f>+W95</f>
        <v>5741.3267896557409</v>
      </c>
      <c r="Z99" s="172"/>
    </row>
    <row r="100" spans="1:26" ht="15.75" thickBot="1">
      <c r="A100" s="180"/>
      <c r="B100" s="199" t="s">
        <v>172</v>
      </c>
      <c r="C100" s="199"/>
      <c r="D100" s="180"/>
      <c r="E100" s="181">
        <v>0</v>
      </c>
      <c r="F100" s="200"/>
      <c r="G100" s="180"/>
      <c r="H100" s="181">
        <v>0</v>
      </c>
      <c r="I100" s="200"/>
      <c r="J100" s="180"/>
      <c r="K100" s="181">
        <v>0</v>
      </c>
      <c r="L100" s="200"/>
      <c r="M100" s="191"/>
      <c r="N100" s="181">
        <f>SUM(M98:M99)</f>
        <v>2945.4321941823646</v>
      </c>
      <c r="O100" s="200"/>
      <c r="P100" s="191"/>
      <c r="Q100" s="181">
        <f>SUM(P98:P99)</f>
        <v>3954.8613066099269</v>
      </c>
      <c r="R100" s="200"/>
      <c r="S100" s="191"/>
      <c r="T100" s="181">
        <f>SUM(S98:S99)</f>
        <v>8948.2039431460071</v>
      </c>
      <c r="U100" s="200"/>
      <c r="V100" s="191"/>
      <c r="W100" s="181">
        <f>SUM(V98:V99)</f>
        <v>9576.6724465009211</v>
      </c>
      <c r="X100" s="200"/>
      <c r="Y100" s="191"/>
      <c r="Z100" s="181">
        <f>SUM(Y98:Y99)</f>
        <v>12898.847520759897</v>
      </c>
    </row>
  </sheetData>
  <mergeCells count="25">
    <mergeCell ref="A18:B18"/>
    <mergeCell ref="A24:B24"/>
    <mergeCell ref="A53:B53"/>
    <mergeCell ref="D2:E2"/>
    <mergeCell ref="G2:H2"/>
    <mergeCell ref="A47:B47"/>
    <mergeCell ref="A42:B42"/>
    <mergeCell ref="A34:B34"/>
    <mergeCell ref="V2:W2"/>
    <mergeCell ref="Y2:Z2"/>
    <mergeCell ref="A3:B3"/>
    <mergeCell ref="A8:B8"/>
    <mergeCell ref="A14:B14"/>
    <mergeCell ref="J2:K2"/>
    <mergeCell ref="M2:N2"/>
    <mergeCell ref="P2:Q2"/>
    <mergeCell ref="S2:T2"/>
    <mergeCell ref="A92:B92"/>
    <mergeCell ref="A97:B97"/>
    <mergeCell ref="A56:B56"/>
    <mergeCell ref="A70:B70"/>
    <mergeCell ref="A66:B66"/>
    <mergeCell ref="A61:B61"/>
    <mergeCell ref="A78:B78"/>
    <mergeCell ref="A84:B84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B1:J89"/>
  <sheetViews>
    <sheetView showGridLines="0" topLeftCell="A73" workbookViewId="0">
      <selection activeCell="B19" sqref="B19:E89"/>
    </sheetView>
  </sheetViews>
  <sheetFormatPr baseColWidth="10" defaultRowHeight="18.75"/>
  <cols>
    <col min="2" max="2" width="11.42578125" style="205"/>
    <col min="3" max="3" width="23" bestFit="1" customWidth="1"/>
    <col min="4" max="5" width="13" bestFit="1" customWidth="1"/>
    <col min="6" max="6" width="11.28515625" bestFit="1" customWidth="1"/>
    <col min="7" max="7" width="14.85546875" bestFit="1" customWidth="1"/>
    <col min="8" max="9" width="12" bestFit="1" customWidth="1"/>
  </cols>
  <sheetData>
    <row r="1" spans="3:10" hidden="1"/>
    <row r="2" spans="3:10" hidden="1"/>
    <row r="3" spans="3:10" hidden="1"/>
    <row r="4" spans="3:10" hidden="1">
      <c r="C4" s="126"/>
      <c r="D4" s="126"/>
      <c r="E4" s="126"/>
      <c r="F4" s="126"/>
      <c r="G4" s="126"/>
      <c r="H4" s="126"/>
      <c r="I4" s="126"/>
      <c r="J4" s="126"/>
    </row>
    <row r="5" spans="3:10" hidden="1">
      <c r="C5" s="7"/>
      <c r="D5" s="317" t="s">
        <v>20</v>
      </c>
      <c r="E5" s="317"/>
      <c r="F5" s="317"/>
      <c r="G5" s="317"/>
      <c r="H5" s="317"/>
      <c r="I5" s="317"/>
      <c r="J5" s="317"/>
    </row>
    <row r="6" spans="3:10" ht="27" hidden="1">
      <c r="C6" s="7"/>
      <c r="D6" s="23" t="s">
        <v>21</v>
      </c>
      <c r="E6" s="23" t="s">
        <v>22</v>
      </c>
      <c r="F6" s="24" t="s">
        <v>23</v>
      </c>
      <c r="G6" s="23" t="s">
        <v>24</v>
      </c>
      <c r="H6" s="23" t="s">
        <v>25</v>
      </c>
      <c r="I6" s="23" t="s">
        <v>26</v>
      </c>
      <c r="J6" s="23" t="s">
        <v>27</v>
      </c>
    </row>
    <row r="7" spans="3:10" hidden="1">
      <c r="C7" s="12"/>
      <c r="D7" s="27">
        <v>1</v>
      </c>
      <c r="E7" s="27">
        <v>2014</v>
      </c>
      <c r="F7" s="28">
        <v>85000</v>
      </c>
      <c r="G7" s="29">
        <v>11740.301314764529</v>
      </c>
      <c r="H7" s="29">
        <v>6712.5513147645288</v>
      </c>
      <c r="I7" s="29">
        <v>5027.75</v>
      </c>
      <c r="J7" s="29">
        <v>78287.448685235475</v>
      </c>
    </row>
    <row r="8" spans="3:10" hidden="1">
      <c r="C8" s="13"/>
      <c r="D8" s="21">
        <v>2</v>
      </c>
      <c r="E8" s="21">
        <v>2015</v>
      </c>
      <c r="F8" s="22">
        <v>78287.448685235475</v>
      </c>
      <c r="G8" s="22">
        <v>23480.602629529058</v>
      </c>
      <c r="H8" s="22">
        <v>14219.197450065702</v>
      </c>
      <c r="I8" s="22">
        <v>9261.405179463356</v>
      </c>
      <c r="J8" s="22">
        <v>64068.251235169773</v>
      </c>
    </row>
    <row r="9" spans="3:10" hidden="1">
      <c r="C9" s="13"/>
      <c r="D9" s="21">
        <v>3</v>
      </c>
      <c r="E9" s="21">
        <v>2016</v>
      </c>
      <c r="F9" s="22">
        <v>64068.251235169773</v>
      </c>
      <c r="G9" s="22">
        <v>23480.602629529058</v>
      </c>
      <c r="H9" s="22">
        <v>15901.328508408475</v>
      </c>
      <c r="I9" s="22">
        <v>7579.2741211205839</v>
      </c>
      <c r="J9" s="22">
        <v>48166.922726761302</v>
      </c>
    </row>
    <row r="10" spans="3:10" hidden="1">
      <c r="C10" s="13"/>
      <c r="D10" s="21">
        <v>4</v>
      </c>
      <c r="E10" s="21">
        <v>2017</v>
      </c>
      <c r="F10" s="22">
        <v>48166.922726761302</v>
      </c>
      <c r="G10" s="22">
        <v>23480.602629529058</v>
      </c>
      <c r="H10" s="22">
        <v>17782.455670953197</v>
      </c>
      <c r="I10" s="22">
        <v>5698.1469585758623</v>
      </c>
      <c r="J10" s="22">
        <v>30384.467055808105</v>
      </c>
    </row>
    <row r="11" spans="3:10" hidden="1">
      <c r="C11" s="13"/>
      <c r="D11" s="21">
        <v>5</v>
      </c>
      <c r="E11" s="21">
        <v>2018</v>
      </c>
      <c r="F11" s="22">
        <v>30384.467055808105</v>
      </c>
      <c r="G11" s="22">
        <v>23480.602629529058</v>
      </c>
      <c r="H11" s="22">
        <v>19886.12017682696</v>
      </c>
      <c r="I11" s="22">
        <v>3594.4824527020987</v>
      </c>
      <c r="J11" s="22">
        <v>10498.346878981145</v>
      </c>
    </row>
    <row r="12" spans="3:10" ht="19.5" hidden="1" thickBot="1">
      <c r="C12" s="12"/>
      <c r="D12" s="25">
        <v>6</v>
      </c>
      <c r="E12" s="25">
        <v>2019</v>
      </c>
      <c r="F12" s="26">
        <v>10498.346878981145</v>
      </c>
      <c r="G12" s="26">
        <v>11740.301314764529</v>
      </c>
      <c r="H12" s="26">
        <v>10498.346878981059</v>
      </c>
      <c r="I12" s="26">
        <v>1241.9544357834695</v>
      </c>
      <c r="J12" s="26">
        <v>8.5492501966655254E-11</v>
      </c>
    </row>
    <row r="13" spans="3:10" ht="19.5" hidden="1" thickTop="1">
      <c r="C13" s="7"/>
      <c r="D13" s="7"/>
      <c r="E13" s="7"/>
      <c r="F13" s="10" t="s">
        <v>28</v>
      </c>
      <c r="G13" s="11">
        <v>105662.71183288077</v>
      </c>
      <c r="H13" s="11">
        <v>74501.65312101887</v>
      </c>
      <c r="I13" s="11">
        <v>31161.058711861901</v>
      </c>
      <c r="J13" s="9"/>
    </row>
    <row r="14" spans="3:10" hidden="1">
      <c r="C14" s="7"/>
      <c r="D14" s="7"/>
      <c r="E14" s="7"/>
      <c r="F14" s="7"/>
      <c r="G14" s="9"/>
      <c r="H14" s="7"/>
      <c r="I14" s="7"/>
      <c r="J14" s="7"/>
    </row>
    <row r="15" spans="3:10" hidden="1">
      <c r="C15" s="34" t="s">
        <v>29</v>
      </c>
      <c r="D15" s="34"/>
      <c r="E15" s="30">
        <v>2014</v>
      </c>
      <c r="F15" s="31">
        <v>2015</v>
      </c>
      <c r="G15" s="30">
        <v>2016</v>
      </c>
      <c r="H15" s="31">
        <v>2017</v>
      </c>
      <c r="I15" s="30">
        <v>2018</v>
      </c>
      <c r="J15" s="31">
        <v>2019</v>
      </c>
    </row>
    <row r="16" spans="3:10" hidden="1">
      <c r="C16" s="19" t="s">
        <v>30</v>
      </c>
      <c r="D16" s="19"/>
      <c r="E16" s="33">
        <v>6712.5513147645288</v>
      </c>
      <c r="F16" s="33">
        <v>14219.197450065702</v>
      </c>
      <c r="G16" s="33">
        <v>15901.328508408475</v>
      </c>
      <c r="H16" s="33">
        <v>17782.455670953197</v>
      </c>
      <c r="I16" s="33">
        <v>19886.12017682696</v>
      </c>
      <c r="J16" s="33">
        <v>10498.346878981059</v>
      </c>
    </row>
    <row r="17" spans="2:10" ht="19.5" hidden="1" thickBot="1">
      <c r="C17" s="17" t="s">
        <v>31</v>
      </c>
      <c r="D17" s="17"/>
      <c r="E17" s="32">
        <v>5027.75</v>
      </c>
      <c r="F17" s="32">
        <v>9261.405179463356</v>
      </c>
      <c r="G17" s="32">
        <v>7579.2741211205839</v>
      </c>
      <c r="H17" s="32">
        <v>5698.1469585758623</v>
      </c>
      <c r="I17" s="32">
        <v>3594.4824527020987</v>
      </c>
      <c r="J17" s="32">
        <v>1241.9544357834695</v>
      </c>
    </row>
    <row r="18" spans="2:10" ht="19.5" hidden="1" thickTop="1">
      <c r="C18" s="126"/>
      <c r="D18" s="126"/>
      <c r="E18" s="126"/>
      <c r="F18" s="126"/>
      <c r="G18" s="126"/>
      <c r="H18" s="126"/>
      <c r="I18" s="126"/>
      <c r="J18" s="126"/>
    </row>
    <row r="19" spans="2:10">
      <c r="C19" s="343" t="s">
        <v>207</v>
      </c>
      <c r="D19" s="343"/>
      <c r="E19" s="343"/>
      <c r="F19" s="126"/>
      <c r="G19" s="126"/>
      <c r="H19" s="126"/>
      <c r="I19" s="126"/>
      <c r="J19" s="126"/>
    </row>
    <row r="20" spans="2:10">
      <c r="C20" s="139" t="s">
        <v>221</v>
      </c>
      <c r="D20" s="139" t="s">
        <v>222</v>
      </c>
      <c r="E20" s="144" t="s">
        <v>223</v>
      </c>
      <c r="F20" s="126"/>
      <c r="G20" s="123"/>
      <c r="H20" s="123"/>
      <c r="I20" s="123"/>
      <c r="J20" s="126"/>
    </row>
    <row r="21" spans="2:10">
      <c r="C21" s="3">
        <v>15000</v>
      </c>
      <c r="D21" s="3">
        <v>0</v>
      </c>
      <c r="E21" s="3">
        <f>+C21-D21</f>
        <v>15000</v>
      </c>
      <c r="F21" s="126"/>
      <c r="G21" s="139" t="s">
        <v>187</v>
      </c>
      <c r="H21" s="139"/>
      <c r="I21" s="138"/>
      <c r="J21" s="126"/>
    </row>
    <row r="22" spans="2:10">
      <c r="C22" s="3">
        <f>+'ASIENTOS CONTABLES'!D4</f>
        <v>85000</v>
      </c>
      <c r="D22" s="3">
        <f>'ASIENTOS CONTABLES'!E11</f>
        <v>5027.75</v>
      </c>
      <c r="E22" s="3">
        <f t="shared" ref="E22:E53" si="0">+E21+C22-D22</f>
        <v>94972.25</v>
      </c>
      <c r="F22" s="126"/>
      <c r="G22" s="3">
        <f>+'ASIENTOS CONTABLES'!D57</f>
        <v>2590</v>
      </c>
      <c r="H22" s="3">
        <v>0</v>
      </c>
      <c r="I22" s="3">
        <f>+G22-H22</f>
        <v>2590</v>
      </c>
      <c r="J22" s="126"/>
    </row>
    <row r="23" spans="2:10">
      <c r="C23" s="3">
        <f>+'ASIENTOS CONTABLES'!D30</f>
        <v>134248.33333333334</v>
      </c>
      <c r="D23" s="3">
        <f>+'ASIENTOS CONTABLES'!E12</f>
        <v>6712.5513147645288</v>
      </c>
      <c r="E23" s="3">
        <f t="shared" si="0"/>
        <v>222508.0320185688</v>
      </c>
      <c r="F23" s="126"/>
      <c r="G23" s="3">
        <f>+'ASIENTOS CONTABLES'!G57</f>
        <v>3160.5</v>
      </c>
      <c r="H23" s="3">
        <v>0</v>
      </c>
      <c r="I23" s="3">
        <f t="shared" ref="I23:I29" si="1">+I22+G23-H23</f>
        <v>5750.5</v>
      </c>
      <c r="J23" s="126"/>
    </row>
    <row r="24" spans="2:10">
      <c r="C24" s="126"/>
      <c r="D24" s="3">
        <f>+'ASIENTOS CONTABLES'!E21</f>
        <v>65360.731512999999</v>
      </c>
      <c r="E24" s="3">
        <f t="shared" si="0"/>
        <v>157147.3005055688</v>
      </c>
      <c r="F24" s="126"/>
      <c r="G24" s="3">
        <f>+'ASIENTOS CONTABLES'!J57</f>
        <v>3627.2249999999999</v>
      </c>
      <c r="H24" s="3">
        <v>0</v>
      </c>
      <c r="I24" s="3">
        <f t="shared" si="1"/>
        <v>9377.7250000000004</v>
      </c>
      <c r="J24" s="126"/>
    </row>
    <row r="25" spans="2:10">
      <c r="C25" s="126"/>
      <c r="D25" s="3">
        <f>+'ASIENTOS CONTABLES'!E58</f>
        <v>2590</v>
      </c>
      <c r="E25" s="3">
        <f t="shared" si="0"/>
        <v>154557.3005055688</v>
      </c>
      <c r="F25" s="126"/>
      <c r="G25" s="3">
        <f>+'ASIENTOS CONTABLES'!M57</f>
        <v>3808.5862500000003</v>
      </c>
      <c r="H25" s="3">
        <v>0</v>
      </c>
      <c r="I25" s="3">
        <f t="shared" si="1"/>
        <v>13186.311250000001</v>
      </c>
      <c r="J25" s="126"/>
    </row>
    <row r="26" spans="2:10">
      <c r="C26" s="126"/>
      <c r="D26" s="3">
        <f>+'ASIENTOS CONTABLES'!E64</f>
        <v>24000</v>
      </c>
      <c r="E26" s="3">
        <f t="shared" si="0"/>
        <v>130557.3005055688</v>
      </c>
      <c r="F26" s="126"/>
      <c r="G26" s="3">
        <f>+'ASIENTOS CONTABLES'!P57</f>
        <v>4339.3573125000003</v>
      </c>
      <c r="H26" s="3">
        <v>0</v>
      </c>
      <c r="I26" s="3">
        <f t="shared" si="1"/>
        <v>17525.668562500003</v>
      </c>
      <c r="J26" s="126"/>
    </row>
    <row r="27" spans="2:10">
      <c r="C27" s="126"/>
      <c r="D27" s="3">
        <f>+'ASIENTOS CONTABLES'!E72</f>
        <v>4000</v>
      </c>
      <c r="E27" s="3">
        <f t="shared" si="0"/>
        <v>126557.3005055688</v>
      </c>
      <c r="F27" s="3"/>
      <c r="G27" s="3">
        <f>+'ASIENTOS CONTABLES'!S57</f>
        <v>4556.325178125001</v>
      </c>
      <c r="H27" s="3">
        <v>0</v>
      </c>
      <c r="I27" s="3">
        <f t="shared" si="1"/>
        <v>22081.993740625003</v>
      </c>
      <c r="J27" s="126"/>
    </row>
    <row r="28" spans="2:10">
      <c r="B28" s="206">
        <v>2014</v>
      </c>
      <c r="C28" s="201"/>
      <c r="D28" s="201">
        <f>+'ASIENTOS CONTABLES'!E82</f>
        <v>75270</v>
      </c>
      <c r="E28" s="202">
        <f t="shared" si="0"/>
        <v>51287.300505568797</v>
      </c>
      <c r="F28" s="3"/>
      <c r="G28" s="3">
        <f>+'ASIENTOS CONTABLES'!V57</f>
        <v>5159.3682164062511</v>
      </c>
      <c r="H28" s="3">
        <v>0</v>
      </c>
      <c r="I28" s="3">
        <f t="shared" si="1"/>
        <v>27241.361957031255</v>
      </c>
      <c r="J28" s="123"/>
    </row>
    <row r="29" spans="2:10">
      <c r="C29" s="3">
        <f>+'ASIENTOS CONTABLES'!G$30</f>
        <v>163819.25</v>
      </c>
      <c r="D29" s="3">
        <f>+'ASIENTOS CONTABLES'!H$11</f>
        <v>9261.405179463356</v>
      </c>
      <c r="E29" s="3">
        <f t="shared" si="0"/>
        <v>205845.14532610544</v>
      </c>
      <c r="F29" s="126"/>
      <c r="G29" s="3">
        <f>+'ASIENTOS CONTABLES'!Y57</f>
        <v>5417.3366272265639</v>
      </c>
      <c r="H29" s="3">
        <v>0</v>
      </c>
      <c r="I29" s="3">
        <f t="shared" si="1"/>
        <v>32658.698584257818</v>
      </c>
      <c r="J29" s="123"/>
    </row>
    <row r="30" spans="2:10">
      <c r="C30" s="3">
        <f>+'ASIENTOS CONTABLES'!G$35</f>
        <v>10791.666666666666</v>
      </c>
      <c r="D30" s="3">
        <f>+'ASIENTOS CONTABLES'!H$12</f>
        <v>14219.197450065702</v>
      </c>
      <c r="E30" s="3">
        <f t="shared" si="0"/>
        <v>202417.6145427064</v>
      </c>
      <c r="F30" s="126"/>
      <c r="G30" s="126"/>
      <c r="H30" s="126"/>
      <c r="I30" s="126"/>
      <c r="J30" s="126"/>
    </row>
    <row r="31" spans="2:10">
      <c r="C31" s="126"/>
      <c r="D31" s="3">
        <f>+'ASIENTOS CONTABLES'!H$21</f>
        <v>68627.537999999986</v>
      </c>
      <c r="E31" s="3">
        <f t="shared" si="0"/>
        <v>133790.0765427064</v>
      </c>
      <c r="F31" s="126"/>
      <c r="G31" s="126"/>
      <c r="H31" s="126"/>
      <c r="I31" s="126"/>
      <c r="J31" s="126"/>
    </row>
    <row r="32" spans="2:10">
      <c r="C32" s="126"/>
      <c r="D32" s="3">
        <f>+'ASIENTOS CONTABLES'!H$26</f>
        <v>8211.1471750000001</v>
      </c>
      <c r="E32" s="3">
        <f t="shared" si="0"/>
        <v>125578.9293677064</v>
      </c>
      <c r="F32" s="126"/>
      <c r="G32" s="126"/>
      <c r="H32" s="126"/>
      <c r="I32" s="126"/>
      <c r="J32" s="126"/>
    </row>
    <row r="33" spans="2:10">
      <c r="C33" s="126"/>
      <c r="D33" s="3">
        <f>+'ASIENTOS CONTABLES'!H$44</f>
        <v>7657.2987119999998</v>
      </c>
      <c r="E33" s="3">
        <f t="shared" si="0"/>
        <v>117921.63065570639</v>
      </c>
      <c r="F33" s="3"/>
      <c r="G33" s="126"/>
      <c r="H33" s="126"/>
      <c r="I33" s="126"/>
      <c r="J33" s="126"/>
    </row>
    <row r="34" spans="2:10">
      <c r="C34" s="3"/>
      <c r="D34" s="3">
        <f>+'ASIENTOS CONTABLES'!H$58</f>
        <v>3160.5</v>
      </c>
      <c r="E34" s="3">
        <f t="shared" si="0"/>
        <v>114761.13065570639</v>
      </c>
      <c r="F34" s="3"/>
      <c r="G34" s="126"/>
      <c r="H34" s="126"/>
      <c r="I34" s="126"/>
      <c r="J34" s="126"/>
    </row>
    <row r="35" spans="2:10">
      <c r="C35" s="123"/>
      <c r="D35" s="41">
        <f>+'ASIENTOS CONTABLES'!H$64</f>
        <v>6000</v>
      </c>
      <c r="E35" s="3">
        <f t="shared" si="0"/>
        <v>108761.13065570639</v>
      </c>
      <c r="F35" s="123"/>
      <c r="G35" s="126"/>
      <c r="H35" s="126"/>
      <c r="I35" s="126"/>
      <c r="J35" s="123"/>
    </row>
    <row r="36" spans="2:10">
      <c r="B36" s="206">
        <v>2015</v>
      </c>
      <c r="C36" s="203"/>
      <c r="D36" s="201">
        <f>+'ASIENTOS CONTABLES'!H$82</f>
        <v>79235</v>
      </c>
      <c r="E36" s="202">
        <f t="shared" si="0"/>
        <v>29526.130655706394</v>
      </c>
      <c r="F36" s="126"/>
      <c r="G36" s="126"/>
      <c r="H36" s="126"/>
      <c r="I36" s="126"/>
      <c r="J36" s="123"/>
    </row>
    <row r="37" spans="2:10">
      <c r="C37" s="3">
        <f>+'ASIENTOS CONTABLES'!J$30</f>
        <v>188011.16250000001</v>
      </c>
      <c r="D37" s="3">
        <f>+'ASIENTOS CONTABLES'!K$11</f>
        <v>7579.2741211205839</v>
      </c>
      <c r="E37" s="3">
        <f t="shared" si="0"/>
        <v>209958.01903458583</v>
      </c>
      <c r="F37" s="126"/>
      <c r="G37" s="126"/>
      <c r="H37" s="126"/>
      <c r="I37" s="126"/>
      <c r="J37" s="126"/>
    </row>
    <row r="38" spans="2:10">
      <c r="C38" s="3">
        <f>+'ASIENTOS CONTABLES'!J$35</f>
        <v>13168.75</v>
      </c>
      <c r="D38" s="3">
        <f>+'ASIENTOS CONTABLES'!K$12</f>
        <v>15901.328508408475</v>
      </c>
      <c r="E38" s="3">
        <f t="shared" si="0"/>
        <v>207225.44052617735</v>
      </c>
      <c r="F38" s="126"/>
      <c r="G38" s="126"/>
      <c r="H38" s="126"/>
      <c r="I38" s="126"/>
      <c r="J38" s="126"/>
    </row>
    <row r="39" spans="2:10">
      <c r="C39" s="126"/>
      <c r="D39" s="3">
        <f>+'ASIENTOS CONTABLES'!K$21</f>
        <v>75661.860644999993</v>
      </c>
      <c r="E39" s="3">
        <f t="shared" si="0"/>
        <v>131563.57988117734</v>
      </c>
      <c r="F39" s="126"/>
      <c r="G39" s="126"/>
      <c r="H39" s="126"/>
      <c r="I39" s="126"/>
      <c r="J39" s="126"/>
    </row>
    <row r="40" spans="2:10">
      <c r="C40" s="126"/>
      <c r="D40" s="3">
        <f>+'ASIENTOS CONTABLES'!K$26</f>
        <v>8621.5499999999993</v>
      </c>
      <c r="E40" s="3">
        <f t="shared" si="0"/>
        <v>122942.02988117734</v>
      </c>
      <c r="F40" s="126"/>
      <c r="J40" s="126"/>
    </row>
    <row r="41" spans="2:10">
      <c r="C41" s="126"/>
      <c r="D41" s="3">
        <f>+'ASIENTOS CONTABLES'!K$44</f>
        <v>10686.312</v>
      </c>
      <c r="E41" s="3">
        <f t="shared" si="0"/>
        <v>112255.71788117733</v>
      </c>
      <c r="F41" s="123"/>
      <c r="J41" s="126"/>
    </row>
    <row r="42" spans="2:10">
      <c r="C42" s="3"/>
      <c r="D42" s="3">
        <f>+'ASIENTOS CONTABLES'!K$58</f>
        <v>3627.2249999999999</v>
      </c>
      <c r="E42" s="3">
        <f t="shared" si="0"/>
        <v>108628.49288117733</v>
      </c>
      <c r="F42" s="123"/>
      <c r="J42" s="123"/>
    </row>
    <row r="43" spans="2:10">
      <c r="C43" s="123"/>
      <c r="D43" s="41">
        <f>+'ASIENTOS CONTABLES'!K$64</f>
        <v>6000</v>
      </c>
      <c r="E43" s="3">
        <f t="shared" si="0"/>
        <v>102628.49288117733</v>
      </c>
      <c r="F43" s="123"/>
      <c r="J43" s="123"/>
    </row>
    <row r="44" spans="2:10">
      <c r="B44" s="206">
        <v>2016</v>
      </c>
      <c r="C44" s="201"/>
      <c r="D44" s="201">
        <f>+'ASIENTOS CONTABLES'!K$82</f>
        <v>83999.75</v>
      </c>
      <c r="E44" s="202">
        <f t="shared" si="0"/>
        <v>18628.742881177328</v>
      </c>
      <c r="F44" s="126"/>
      <c r="J44" s="126"/>
    </row>
    <row r="45" spans="2:10">
      <c r="C45" s="3">
        <f>+'ASIENTOS CONTABLES'!M$30</f>
        <v>197411.72062500002</v>
      </c>
      <c r="D45" s="3">
        <f>+'ASIENTOS CONTABLES'!N$11</f>
        <v>5698.1469585758623</v>
      </c>
      <c r="E45" s="3">
        <f t="shared" si="0"/>
        <v>210342.31654760148</v>
      </c>
      <c r="F45" s="126"/>
      <c r="J45" s="126"/>
    </row>
    <row r="46" spans="2:10">
      <c r="C46" s="3">
        <f>+'ASIENTOS CONTABLES'!M$35</f>
        <v>15113.4375</v>
      </c>
      <c r="D46" s="3">
        <f>+'ASIENTOS CONTABLES'!N$12</f>
        <v>17782.455670953197</v>
      </c>
      <c r="E46" s="3">
        <f t="shared" si="0"/>
        <v>207673.29837664828</v>
      </c>
      <c r="F46" s="126"/>
      <c r="J46" s="126"/>
    </row>
    <row r="47" spans="2:10">
      <c r="C47" s="126"/>
      <c r="D47" s="3">
        <f>+'ASIENTOS CONTABLES'!N$21</f>
        <v>79444.953677250014</v>
      </c>
      <c r="E47" s="3">
        <f t="shared" si="0"/>
        <v>128228.34469939827</v>
      </c>
      <c r="F47" s="126"/>
      <c r="J47" s="126"/>
    </row>
    <row r="48" spans="2:10">
      <c r="C48" s="126"/>
      <c r="D48" s="3">
        <f>+'ASIENTOS CONTABLES'!N$26</f>
        <v>9505.2588749999995</v>
      </c>
      <c r="E48" s="3">
        <f t="shared" si="0"/>
        <v>118723.08582439827</v>
      </c>
      <c r="F48" s="126"/>
      <c r="J48" s="126"/>
    </row>
    <row r="49" spans="2:10">
      <c r="C49" s="126"/>
      <c r="D49" s="3">
        <f>+'ASIENTOS CONTABLES'!N$44</f>
        <v>12638.301479999998</v>
      </c>
      <c r="E49" s="3">
        <f t="shared" si="0"/>
        <v>106084.78434439827</v>
      </c>
      <c r="F49" s="123"/>
      <c r="J49" s="123"/>
    </row>
    <row r="50" spans="2:10">
      <c r="C50" s="3"/>
      <c r="D50" s="3">
        <f>+'ASIENTOS CONTABLES'!N$58</f>
        <v>3808.5862500000003</v>
      </c>
      <c r="E50" s="3">
        <f t="shared" si="0"/>
        <v>102276.19809439828</v>
      </c>
      <c r="F50" s="123"/>
      <c r="J50" s="123"/>
    </row>
    <row r="51" spans="2:10">
      <c r="C51" s="123"/>
      <c r="D51" s="204">
        <f>+'ASIENTOS CONTABLES'!N$64</f>
        <v>6000</v>
      </c>
      <c r="E51" s="204">
        <f t="shared" si="0"/>
        <v>96276.198094398278</v>
      </c>
      <c r="F51" s="126"/>
      <c r="J51" s="126"/>
    </row>
    <row r="52" spans="2:10">
      <c r="C52" s="123"/>
      <c r="D52" s="204">
        <f>+'ASIENTOS CONTABLES'!N$82</f>
        <v>88651.497500000012</v>
      </c>
      <c r="E52" s="204">
        <f t="shared" si="0"/>
        <v>7624.7005943982658</v>
      </c>
      <c r="F52" s="126"/>
      <c r="J52" s="126"/>
    </row>
    <row r="53" spans="2:10">
      <c r="B53" s="206">
        <v>2017</v>
      </c>
      <c r="C53" s="201"/>
      <c r="D53" s="201">
        <f>+'ASIENTOS CONTABLES'!N$100</f>
        <v>2945.4321941823646</v>
      </c>
      <c r="E53" s="202">
        <f t="shared" si="0"/>
        <v>4679.2684002159012</v>
      </c>
      <c r="F53" s="126"/>
      <c r="J53" s="126"/>
    </row>
    <row r="54" spans="2:10">
      <c r="C54" s="3">
        <f>+'ASIENTOS CONTABLES'!P$30</f>
        <v>224923.35403125003</v>
      </c>
      <c r="D54" s="3">
        <f>+'ASIENTOS CONTABLES'!Q$11</f>
        <v>3594.4824527020987</v>
      </c>
      <c r="E54" s="3">
        <f t="shared" ref="E54:E85" si="2">+E53+C54-D54</f>
        <v>226008.13997876382</v>
      </c>
      <c r="F54" s="126"/>
      <c r="J54" s="126"/>
    </row>
    <row r="55" spans="2:10">
      <c r="C55" s="3">
        <f>+'ASIENTOS CONTABLES'!P$35</f>
        <v>15869.109375</v>
      </c>
      <c r="D55" s="3">
        <f>+'ASIENTOS CONTABLES'!Q$12</f>
        <v>19886.12017682696</v>
      </c>
      <c r="E55" s="3">
        <f t="shared" si="2"/>
        <v>221991.12917693687</v>
      </c>
      <c r="F55" s="126"/>
      <c r="J55" s="126"/>
    </row>
    <row r="56" spans="2:10">
      <c r="C56" s="126"/>
      <c r="D56" s="3">
        <f>+'ASIENTOS CONTABLES'!Q$21</f>
        <v>87588.061429168156</v>
      </c>
      <c r="E56" s="3">
        <f t="shared" si="2"/>
        <v>134403.06774776871</v>
      </c>
      <c r="F56" s="123"/>
      <c r="J56" s="123"/>
    </row>
    <row r="57" spans="2:10">
      <c r="C57" s="126"/>
      <c r="D57" s="3">
        <f>+'ASIENTOS CONTABLES'!Q$26</f>
        <v>9980.5218187500013</v>
      </c>
      <c r="E57" s="3">
        <f t="shared" si="2"/>
        <v>124422.54592901871</v>
      </c>
      <c r="F57" s="123"/>
      <c r="J57" s="123"/>
    </row>
    <row r="58" spans="2:10">
      <c r="C58" s="126"/>
      <c r="D58" s="3">
        <f>+'ASIENTOS CONTABLES'!Q$44</f>
        <v>13270.216554000001</v>
      </c>
      <c r="E58" s="3">
        <f t="shared" si="2"/>
        <v>111152.32937501871</v>
      </c>
      <c r="F58" s="126"/>
      <c r="J58" s="126"/>
    </row>
    <row r="59" spans="2:10">
      <c r="C59" s="3"/>
      <c r="D59" s="3">
        <f>+'ASIENTOS CONTABLES'!Q$58</f>
        <v>4339.3573125000003</v>
      </c>
      <c r="E59" s="3">
        <f t="shared" si="2"/>
        <v>106812.97206251872</v>
      </c>
      <c r="F59" s="126"/>
      <c r="J59" s="126"/>
    </row>
    <row r="60" spans="2:10">
      <c r="C60" s="123"/>
      <c r="D60" s="204">
        <f>+'ASIENTOS CONTABLES'!Q$64</f>
        <v>6000</v>
      </c>
      <c r="E60" s="204">
        <f t="shared" si="2"/>
        <v>100812.97206251872</v>
      </c>
      <c r="F60" s="126"/>
      <c r="J60" s="126"/>
    </row>
    <row r="61" spans="2:10">
      <c r="C61" s="123"/>
      <c r="D61" s="204">
        <f>+'ASIENTOS CONTABLES'!Q$82</f>
        <v>93792.646775000001</v>
      </c>
      <c r="E61" s="204">
        <f t="shared" si="2"/>
        <v>7020.3252875187172</v>
      </c>
      <c r="F61" s="126"/>
      <c r="J61" s="126"/>
    </row>
    <row r="62" spans="2:10">
      <c r="B62" s="206">
        <v>2018</v>
      </c>
      <c r="C62" s="201"/>
      <c r="D62" s="201">
        <f>+'ASIENTOS CONTABLES'!Q$100</f>
        <v>3954.8613066099269</v>
      </c>
      <c r="E62" s="202">
        <f t="shared" si="2"/>
        <v>3065.4639809087903</v>
      </c>
      <c r="F62" s="126"/>
      <c r="J62" s="126"/>
    </row>
    <row r="63" spans="2:10">
      <c r="C63" s="3">
        <f>+'ASIENTOS CONTABLES'!S$30</f>
        <v>236169.52173281251</v>
      </c>
      <c r="D63" s="3">
        <f>+'ASIENTOS CONTABLES'!T$11</f>
        <v>1241.9544357834695</v>
      </c>
      <c r="E63" s="3">
        <f t="shared" si="2"/>
        <v>237993.03127793784</v>
      </c>
      <c r="F63" s="123"/>
      <c r="J63" s="123"/>
    </row>
    <row r="64" spans="2:10">
      <c r="C64" s="3">
        <f>+'ASIENTOS CONTABLES'!S$35</f>
        <v>18080.655468749999</v>
      </c>
      <c r="D64" s="3">
        <f>+'ASIENTOS CONTABLES'!T$12</f>
        <v>10498.346878981059</v>
      </c>
      <c r="E64" s="3">
        <f t="shared" si="2"/>
        <v>245575.33986770676</v>
      </c>
      <c r="F64" s="123"/>
      <c r="J64" s="123"/>
    </row>
    <row r="65" spans="2:10">
      <c r="C65" s="126"/>
      <c r="D65" s="3">
        <f>+'ASIENTOS CONTABLES'!T$21</f>
        <v>91967.464500626549</v>
      </c>
      <c r="E65" s="3">
        <f t="shared" si="2"/>
        <v>153607.87536708021</v>
      </c>
      <c r="F65" s="126"/>
      <c r="J65" s="126"/>
    </row>
    <row r="66" spans="2:10">
      <c r="C66" s="126"/>
      <c r="D66" s="3">
        <f>+'ASIENTOS CONTABLES'!T$26</f>
        <v>11003.525305171879</v>
      </c>
      <c r="E66" s="3">
        <f t="shared" si="2"/>
        <v>142604.35006190834</v>
      </c>
      <c r="F66" s="126"/>
      <c r="J66" s="126"/>
    </row>
    <row r="67" spans="2:10">
      <c r="C67" s="126"/>
      <c r="D67" s="3">
        <f>+'ASIENTOS CONTABLES'!T$44</f>
        <v>15472.759582035</v>
      </c>
      <c r="E67" s="3">
        <f t="shared" si="2"/>
        <v>127131.59047987334</v>
      </c>
      <c r="F67" s="126"/>
      <c r="J67" s="126"/>
    </row>
    <row r="68" spans="2:10">
      <c r="C68" s="3"/>
      <c r="D68" s="3">
        <f>+'ASIENTOS CONTABLES'!T$58</f>
        <v>4556.325178125001</v>
      </c>
      <c r="E68" s="3">
        <f t="shared" si="2"/>
        <v>122575.26530174834</v>
      </c>
      <c r="F68" s="126"/>
      <c r="J68" s="126"/>
    </row>
    <row r="69" spans="2:10">
      <c r="C69" s="123"/>
      <c r="D69" s="204">
        <f>+'ASIENTOS CONTABLES'!T$64</f>
        <v>6000</v>
      </c>
      <c r="E69" s="204">
        <f t="shared" si="2"/>
        <v>116575.26530174834</v>
      </c>
      <c r="F69" s="126"/>
      <c r="J69" s="126"/>
    </row>
    <row r="70" spans="2:10">
      <c r="C70" s="123"/>
      <c r="D70" s="204">
        <f>+'ASIENTOS CONTABLES'!T$82</f>
        <v>100227.26624975001</v>
      </c>
      <c r="E70" s="204">
        <f t="shared" si="2"/>
        <v>16347.999051998326</v>
      </c>
      <c r="F70" s="123"/>
      <c r="J70" s="123"/>
    </row>
    <row r="71" spans="2:10">
      <c r="B71" s="206">
        <v>2019</v>
      </c>
      <c r="C71" s="201"/>
      <c r="D71" s="201">
        <f>+'ASIENTOS CONTABLES'!T$100</f>
        <v>8948.2039431460071</v>
      </c>
      <c r="E71" s="202">
        <f t="shared" si="2"/>
        <v>7399.7951088523187</v>
      </c>
      <c r="F71" s="123"/>
      <c r="J71" s="123"/>
    </row>
    <row r="72" spans="2:10">
      <c r="C72" s="3">
        <f>+'ASIENTOS CONTABLES'!V$30</f>
        <v>267427.25255039072</v>
      </c>
      <c r="D72" s="3">
        <f>+'ASIENTOS CONTABLES'!W$11</f>
        <v>0</v>
      </c>
      <c r="E72" s="3">
        <f t="shared" si="2"/>
        <v>274827.04765924305</v>
      </c>
      <c r="F72" s="126"/>
      <c r="J72" s="126"/>
    </row>
    <row r="73" spans="2:10">
      <c r="C73" s="3">
        <f>+'ASIENTOS CONTABLES'!V$35</f>
        <v>18984.688242187505</v>
      </c>
      <c r="D73" s="3">
        <f>+'ASIENTOS CONTABLES'!W$12</f>
        <v>0</v>
      </c>
      <c r="E73" s="3">
        <f t="shared" si="2"/>
        <v>293811.73590143054</v>
      </c>
      <c r="F73" s="126"/>
      <c r="J73" s="126"/>
    </row>
    <row r="74" spans="2:10">
      <c r="C74" s="126"/>
      <c r="D74" s="3">
        <f>+'ASIENTOS CONTABLES'!W$21</f>
        <v>101394.12961194076</v>
      </c>
      <c r="E74" s="3">
        <f t="shared" si="2"/>
        <v>192417.60628948978</v>
      </c>
      <c r="F74" s="126"/>
      <c r="J74" s="126"/>
    </row>
    <row r="75" spans="2:10">
      <c r="C75" s="126"/>
      <c r="D75" s="3">
        <f>+'ASIENTOS CONTABLES'!W$26</f>
        <v>11553.701570430472</v>
      </c>
      <c r="E75" s="3">
        <f t="shared" si="2"/>
        <v>180863.9047190593</v>
      </c>
      <c r="F75" s="126"/>
      <c r="J75" s="126"/>
    </row>
    <row r="76" spans="2:10">
      <c r="C76" s="126"/>
      <c r="D76" s="3">
        <f>+'ASIENTOS CONTABLES'!W$44</f>
        <v>16246.397561136753</v>
      </c>
      <c r="E76" s="3">
        <f t="shared" si="2"/>
        <v>164617.50715792255</v>
      </c>
      <c r="F76" s="126"/>
      <c r="J76" s="126"/>
    </row>
    <row r="77" spans="2:10">
      <c r="C77" s="3"/>
      <c r="D77" s="3">
        <f>+'ASIENTOS CONTABLES'!W$58</f>
        <v>5159.3682164062511</v>
      </c>
      <c r="E77" s="3">
        <f t="shared" si="2"/>
        <v>159458.13894151628</v>
      </c>
      <c r="F77" s="126"/>
      <c r="J77" s="126"/>
    </row>
    <row r="78" spans="2:10">
      <c r="C78" s="123"/>
      <c r="D78" s="204">
        <f>+'ASIENTOS CONTABLES'!W$64</f>
        <v>6000</v>
      </c>
      <c r="E78" s="204">
        <f t="shared" si="2"/>
        <v>153458.13894151628</v>
      </c>
      <c r="F78" s="126"/>
      <c r="J78" s="126"/>
    </row>
    <row r="79" spans="2:10">
      <c r="C79" s="123"/>
      <c r="D79" s="204">
        <f>+'ASIENTOS CONTABLES'!W$82</f>
        <v>111789.25103807752</v>
      </c>
      <c r="E79" s="204">
        <f t="shared" si="2"/>
        <v>41668.887903438765</v>
      </c>
      <c r="F79" s="126"/>
      <c r="J79" s="126"/>
    </row>
    <row r="80" spans="2:10">
      <c r="B80" s="206">
        <v>2020</v>
      </c>
      <c r="C80" s="201"/>
      <c r="D80" s="201">
        <f>+'ASIENTOS CONTABLES'!W$100</f>
        <v>9576.6724465009211</v>
      </c>
      <c r="E80" s="202">
        <f t="shared" si="2"/>
        <v>32092.215456937844</v>
      </c>
      <c r="F80" s="126"/>
      <c r="J80" s="126"/>
    </row>
    <row r="81" spans="2:10">
      <c r="C81" s="3">
        <f>+'ASIENTOS CONTABLES'!Y$30</f>
        <v>280798.61517791025</v>
      </c>
      <c r="D81" s="3">
        <f>+'ASIENTOS CONTABLES'!Z$11</f>
        <v>0</v>
      </c>
      <c r="E81" s="3">
        <f t="shared" si="2"/>
        <v>312890.8306348481</v>
      </c>
      <c r="F81" s="126"/>
      <c r="J81" s="126"/>
    </row>
    <row r="82" spans="2:10">
      <c r="C82" s="3">
        <f>+'ASIENTOS CONTABLES'!Y$35</f>
        <v>21497.367568359379</v>
      </c>
      <c r="D82" s="3">
        <f>+'ASIENTOS CONTABLES'!Z$12</f>
        <v>0</v>
      </c>
      <c r="E82" s="3">
        <f t="shared" si="2"/>
        <v>334388.19820320746</v>
      </c>
      <c r="F82" s="126"/>
      <c r="J82" s="126"/>
    </row>
    <row r="83" spans="2:10">
      <c r="C83" s="126"/>
      <c r="D83" s="3">
        <f>+'ASIENTOS CONTABLES'!Z$21</f>
        <v>106463.83609253784</v>
      </c>
      <c r="E83" s="3">
        <f t="shared" si="2"/>
        <v>227924.36211066961</v>
      </c>
      <c r="F83" s="126"/>
      <c r="J83" s="126"/>
    </row>
    <row r="84" spans="2:10">
      <c r="C84" s="126"/>
      <c r="D84" s="3">
        <f>+'ASIENTOS CONTABLES'!Z$26</f>
        <v>12737.955981399595</v>
      </c>
      <c r="E84" s="3">
        <f t="shared" si="2"/>
        <v>215186.40612927001</v>
      </c>
      <c r="F84" s="126"/>
      <c r="J84" s="126"/>
    </row>
    <row r="85" spans="2:10">
      <c r="C85" s="126"/>
      <c r="D85" s="3">
        <f>+'ASIENTOS CONTABLES'!Z$44</f>
        <v>18727.77155629389</v>
      </c>
      <c r="E85" s="3">
        <f t="shared" si="2"/>
        <v>196458.63457297612</v>
      </c>
      <c r="F85" s="126"/>
      <c r="J85" s="126"/>
    </row>
    <row r="86" spans="2:10">
      <c r="C86" s="3"/>
      <c r="D86" s="3">
        <f>+'ASIENTOS CONTABLES'!Z$58</f>
        <v>5417.3366272265639</v>
      </c>
      <c r="E86" s="3">
        <f t="shared" ref="E86:E89" si="3">+E85+C86-D86</f>
        <v>191041.29794574957</v>
      </c>
      <c r="F86" s="126"/>
      <c r="J86" s="126"/>
    </row>
    <row r="87" spans="2:10">
      <c r="C87" s="123"/>
      <c r="D87" s="204">
        <f>+'ASIENTOS CONTABLES'!Z$64</f>
        <v>6000</v>
      </c>
      <c r="E87" s="204">
        <f t="shared" si="3"/>
        <v>185041.29794574957</v>
      </c>
      <c r="F87" s="126"/>
      <c r="J87" s="126"/>
    </row>
    <row r="88" spans="2:10">
      <c r="C88" s="123"/>
      <c r="D88" s="204">
        <f>+'ASIENTOS CONTABLES'!Z$82</f>
        <v>124938.46851519099</v>
      </c>
      <c r="E88" s="204">
        <f t="shared" si="3"/>
        <v>60102.829430558573</v>
      </c>
      <c r="F88" s="126"/>
      <c r="J88" s="126"/>
    </row>
    <row r="89" spans="2:10">
      <c r="B89" s="206">
        <v>2021</v>
      </c>
      <c r="C89" s="201"/>
      <c r="D89" s="201">
        <f>+'ASIENTOS CONTABLES'!Z$100</f>
        <v>12898.847520759897</v>
      </c>
      <c r="E89" s="202">
        <f t="shared" si="3"/>
        <v>47203.981909798676</v>
      </c>
      <c r="F89" s="126"/>
      <c r="J89" s="126"/>
    </row>
  </sheetData>
  <mergeCells count="2">
    <mergeCell ref="C19:E19"/>
    <mergeCell ref="D5:J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B4:M41"/>
  <sheetViews>
    <sheetView showGridLines="0" workbookViewId="0">
      <selection activeCell="B4" sqref="B4:M10"/>
    </sheetView>
  </sheetViews>
  <sheetFormatPr baseColWidth="10" defaultColWidth="16" defaultRowHeight="15"/>
  <cols>
    <col min="1" max="3" width="16" style="49"/>
    <col min="4" max="4" width="14.42578125" style="49" customWidth="1"/>
    <col min="5" max="5" width="16" style="49"/>
    <col min="6" max="6" width="13.140625" style="49" customWidth="1"/>
    <col min="7" max="16384" width="16" style="49"/>
  </cols>
  <sheetData>
    <row r="4" spans="2:13" ht="59.25" customHeight="1">
      <c r="B4" s="50" t="s">
        <v>229</v>
      </c>
      <c r="C4" s="50" t="s">
        <v>230</v>
      </c>
      <c r="D4" s="50" t="s">
        <v>231</v>
      </c>
      <c r="E4" s="50" t="s">
        <v>232</v>
      </c>
      <c r="F4" s="50" t="s">
        <v>233</v>
      </c>
      <c r="G4" s="50" t="s">
        <v>234</v>
      </c>
      <c r="H4" s="50" t="s">
        <v>235</v>
      </c>
      <c r="I4" s="50" t="s">
        <v>236</v>
      </c>
      <c r="J4" s="50" t="s">
        <v>237</v>
      </c>
      <c r="K4" s="50" t="s">
        <v>238</v>
      </c>
      <c r="L4" s="214" t="s">
        <v>291</v>
      </c>
      <c r="M4" s="50" t="s">
        <v>239</v>
      </c>
    </row>
    <row r="5" spans="2:13">
      <c r="B5" s="132" t="s">
        <v>5</v>
      </c>
      <c r="C5" s="132">
        <v>1400</v>
      </c>
      <c r="D5" s="156">
        <v>7.5</v>
      </c>
      <c r="E5" s="156">
        <v>10500</v>
      </c>
      <c r="F5" s="156">
        <v>9.4478300180831837E-2</v>
      </c>
      <c r="G5" s="156">
        <v>7.5944783001808318</v>
      </c>
      <c r="H5" s="156">
        <v>10632.269620253164</v>
      </c>
      <c r="I5" s="156">
        <v>1.3145404746835443</v>
      </c>
      <c r="J5" s="156">
        <v>8.9090187748643768</v>
      </c>
      <c r="K5" s="156">
        <v>1.4090187748643768</v>
      </c>
      <c r="L5" s="156">
        <v>1972.6262848101269</v>
      </c>
      <c r="M5" s="156">
        <v>12472.626284810127</v>
      </c>
    </row>
    <row r="6" spans="2:13">
      <c r="B6" s="130" t="s">
        <v>6</v>
      </c>
      <c r="C6" s="130">
        <v>1400</v>
      </c>
      <c r="D6" s="48">
        <v>7.5</v>
      </c>
      <c r="E6" s="48">
        <v>10500</v>
      </c>
      <c r="F6" s="48">
        <v>9.4478300180831837E-2</v>
      </c>
      <c r="G6" s="48">
        <v>7.5944783001808318</v>
      </c>
      <c r="H6" s="48">
        <v>10632.269620253164</v>
      </c>
      <c r="I6" s="48">
        <v>1.3145404746835443</v>
      </c>
      <c r="J6" s="48">
        <v>8.9090187748643768</v>
      </c>
      <c r="K6" s="48">
        <v>1.4090187748643768</v>
      </c>
      <c r="L6" s="48">
        <v>1972.6262848101269</v>
      </c>
      <c r="M6" s="48">
        <v>12472.626284810127</v>
      </c>
    </row>
    <row r="7" spans="2:13">
      <c r="B7" s="130" t="s">
        <v>7</v>
      </c>
      <c r="C7" s="130">
        <v>1400</v>
      </c>
      <c r="D7" s="48">
        <v>8</v>
      </c>
      <c r="E7" s="48">
        <v>11200</v>
      </c>
      <c r="F7" s="48">
        <v>0.10077685352622062</v>
      </c>
      <c r="G7" s="48">
        <v>8.1007768535262201</v>
      </c>
      <c r="H7" s="48">
        <v>11341.087594936707</v>
      </c>
      <c r="I7" s="48">
        <v>1.4021765063291138</v>
      </c>
      <c r="J7" s="48">
        <v>9.5029533598553346</v>
      </c>
      <c r="K7" s="48">
        <v>1.5029533598553346</v>
      </c>
      <c r="L7" s="48">
        <v>2104.1347037974683</v>
      </c>
      <c r="M7" s="48">
        <v>13304.134703797468</v>
      </c>
    </row>
    <row r="8" spans="2:13">
      <c r="B8" s="130" t="s">
        <v>8</v>
      </c>
      <c r="C8" s="130">
        <v>1400</v>
      </c>
      <c r="D8" s="48">
        <v>8</v>
      </c>
      <c r="E8" s="48">
        <v>11200</v>
      </c>
      <c r="F8" s="48">
        <v>0.10077685352622062</v>
      </c>
      <c r="G8" s="48">
        <v>8.1007768535262201</v>
      </c>
      <c r="H8" s="48">
        <v>11341.087594936707</v>
      </c>
      <c r="I8" s="48">
        <v>1.4021765063291138</v>
      </c>
      <c r="J8" s="48">
        <v>9.5029533598553346</v>
      </c>
      <c r="K8" s="48">
        <v>1.5029533598553346</v>
      </c>
      <c r="L8" s="48">
        <v>2104.1347037974683</v>
      </c>
      <c r="M8" s="48">
        <v>13304.134703797468</v>
      </c>
    </row>
    <row r="9" spans="2:13" ht="15.75" thickBot="1">
      <c r="B9" s="131" t="s">
        <v>9</v>
      </c>
      <c r="C9" s="131">
        <v>1400</v>
      </c>
      <c r="D9" s="58">
        <v>8.5</v>
      </c>
      <c r="E9" s="58">
        <v>11900</v>
      </c>
      <c r="F9" s="58">
        <v>0.10707540687160941</v>
      </c>
      <c r="G9" s="58">
        <v>8.6070754068716102</v>
      </c>
      <c r="H9" s="58">
        <v>12049.905569620254</v>
      </c>
      <c r="I9" s="58">
        <v>1.4898125379746836</v>
      </c>
      <c r="J9" s="58">
        <v>10.096887944846294</v>
      </c>
      <c r="K9" s="58">
        <v>1.5968879448462943</v>
      </c>
      <c r="L9" s="58">
        <v>2235.6431227848116</v>
      </c>
      <c r="M9" s="58">
        <v>14135.643122784812</v>
      </c>
    </row>
    <row r="10" spans="2:13" ht="15.75" thickTop="1">
      <c r="B10" s="50" t="s">
        <v>240</v>
      </c>
      <c r="C10" s="50">
        <v>7000</v>
      </c>
      <c r="D10" s="157"/>
      <c r="E10" s="157">
        <v>55300</v>
      </c>
      <c r="F10" s="157"/>
      <c r="G10" s="157">
        <v>39.997585714285712</v>
      </c>
      <c r="H10" s="157">
        <v>55996.619999999995</v>
      </c>
      <c r="I10" s="157"/>
      <c r="J10" s="157"/>
      <c r="K10" s="157"/>
      <c r="L10" s="157">
        <v>10389.165100000002</v>
      </c>
      <c r="M10" s="157">
        <v>65689.179999999993</v>
      </c>
    </row>
    <row r="14" spans="2:13" ht="45" customHeight="1">
      <c r="C14" s="345" t="s">
        <v>241</v>
      </c>
      <c r="D14" s="345"/>
      <c r="E14" s="345"/>
      <c r="F14" s="345"/>
    </row>
    <row r="15" spans="2:13" ht="30">
      <c r="C15" s="50"/>
      <c r="D15" s="50" t="s">
        <v>3</v>
      </c>
      <c r="E15" s="50" t="s">
        <v>1</v>
      </c>
      <c r="F15" s="50" t="s">
        <v>242</v>
      </c>
    </row>
    <row r="16" spans="2:13">
      <c r="C16" s="57" t="s">
        <v>5</v>
      </c>
      <c r="D16" s="156">
        <v>7.5</v>
      </c>
      <c r="E16" s="132">
        <v>1400</v>
      </c>
      <c r="F16" s="156">
        <v>10500</v>
      </c>
    </row>
    <row r="17" spans="3:6">
      <c r="C17" s="159" t="s">
        <v>6</v>
      </c>
      <c r="D17" s="48">
        <v>7.5</v>
      </c>
      <c r="E17" s="130">
        <v>1400</v>
      </c>
      <c r="F17" s="48">
        <v>10500</v>
      </c>
    </row>
    <row r="18" spans="3:6">
      <c r="C18" s="159" t="s">
        <v>7</v>
      </c>
      <c r="D18" s="48">
        <v>8</v>
      </c>
      <c r="E18" s="130">
        <v>1400</v>
      </c>
      <c r="F18" s="48">
        <v>11200</v>
      </c>
    </row>
    <row r="19" spans="3:6">
      <c r="C19" s="159" t="s">
        <v>8</v>
      </c>
      <c r="D19" s="48">
        <v>8</v>
      </c>
      <c r="E19" s="130">
        <v>1400</v>
      </c>
      <c r="F19" s="48">
        <v>11200</v>
      </c>
    </row>
    <row r="20" spans="3:6" ht="15.75" thickBot="1">
      <c r="C20" s="129" t="s">
        <v>9</v>
      </c>
      <c r="D20" s="58">
        <v>8.5</v>
      </c>
      <c r="E20" s="131">
        <v>1400</v>
      </c>
      <c r="F20" s="58">
        <v>11900</v>
      </c>
    </row>
    <row r="21" spans="3:6" ht="15.75" thickTop="1">
      <c r="C21" s="50" t="s">
        <v>10</v>
      </c>
      <c r="D21" s="50"/>
      <c r="E21" s="50">
        <v>7000</v>
      </c>
      <c r="F21" s="157">
        <v>55300</v>
      </c>
    </row>
    <row r="23" spans="3:6" ht="15" customHeight="1">
      <c r="C23" s="314" t="s">
        <v>255</v>
      </c>
      <c r="D23" s="314"/>
      <c r="E23" s="314"/>
      <c r="F23" s="314"/>
    </row>
    <row r="24" spans="3:6">
      <c r="C24" s="344" t="s">
        <v>257</v>
      </c>
      <c r="D24" s="344"/>
      <c r="E24" s="344"/>
      <c r="F24" s="161">
        <v>55300</v>
      </c>
    </row>
    <row r="25" spans="3:6" ht="22.5" customHeight="1">
      <c r="C25" s="321" t="s">
        <v>256</v>
      </c>
      <c r="D25" s="321"/>
      <c r="E25" s="321"/>
      <c r="F25" s="48">
        <v>420.12</v>
      </c>
    </row>
    <row r="26" spans="3:6" ht="21" customHeight="1">
      <c r="C26" s="345" t="s">
        <v>258</v>
      </c>
      <c r="D26" s="345"/>
      <c r="E26" s="345"/>
      <c r="F26" s="52">
        <v>276.5</v>
      </c>
    </row>
    <row r="27" spans="3:6">
      <c r="C27" s="344" t="s">
        <v>259</v>
      </c>
      <c r="D27" s="344"/>
      <c r="E27" s="344"/>
      <c r="F27" s="161">
        <v>55996.62</v>
      </c>
    </row>
    <row r="28" spans="3:6">
      <c r="C28" s="321" t="s">
        <v>243</v>
      </c>
      <c r="D28" s="321"/>
      <c r="E28" s="321"/>
      <c r="F28" s="48">
        <v>82</v>
      </c>
    </row>
    <row r="29" spans="3:6">
      <c r="C29" s="345" t="s">
        <v>244</v>
      </c>
      <c r="D29" s="345"/>
      <c r="E29" s="345"/>
      <c r="F29" s="52">
        <v>450</v>
      </c>
    </row>
    <row r="30" spans="3:6" ht="18.75" customHeight="1">
      <c r="C30" s="345" t="s">
        <v>245</v>
      </c>
      <c r="D30" s="345"/>
      <c r="E30" s="345"/>
      <c r="F30" s="52">
        <v>165.9</v>
      </c>
    </row>
    <row r="31" spans="3:6" ht="24" customHeight="1">
      <c r="C31" s="345" t="s">
        <v>246</v>
      </c>
      <c r="D31" s="345"/>
      <c r="E31" s="345"/>
      <c r="F31" s="52">
        <v>150</v>
      </c>
    </row>
    <row r="32" spans="3:6" ht="19.5" customHeight="1">
      <c r="C32" s="345" t="s">
        <v>247</v>
      </c>
      <c r="D32" s="345"/>
      <c r="E32" s="345"/>
      <c r="F32" s="52">
        <v>279.98310000000004</v>
      </c>
    </row>
    <row r="33" spans="3:6" ht="22.5" customHeight="1">
      <c r="C33" s="345" t="s">
        <v>248</v>
      </c>
      <c r="D33" s="345"/>
      <c r="E33" s="345"/>
      <c r="F33" s="52">
        <v>5599.6620000000003</v>
      </c>
    </row>
    <row r="34" spans="3:6" ht="21" customHeight="1">
      <c r="C34" s="345" t="s">
        <v>249</v>
      </c>
      <c r="D34" s="345"/>
      <c r="E34" s="345"/>
      <c r="F34" s="52">
        <v>2765</v>
      </c>
    </row>
    <row r="35" spans="3:6" ht="19.5" customHeight="1">
      <c r="C35" s="345" t="s">
        <v>250</v>
      </c>
      <c r="D35" s="345"/>
      <c r="E35" s="345"/>
      <c r="F35" s="52">
        <v>50</v>
      </c>
    </row>
    <row r="36" spans="3:6" ht="24" customHeight="1">
      <c r="C36" s="344" t="s">
        <v>251</v>
      </c>
      <c r="D36" s="344"/>
      <c r="E36" s="344"/>
      <c r="F36" s="161">
        <v>9542.5450999999994</v>
      </c>
    </row>
    <row r="37" spans="3:6" ht="18" customHeight="1">
      <c r="C37" s="345" t="s">
        <v>252</v>
      </c>
      <c r="D37" s="345"/>
      <c r="E37" s="345"/>
      <c r="F37" s="52">
        <v>150</v>
      </c>
    </row>
    <row r="38" spans="3:6" ht="20.25" customHeight="1">
      <c r="C38" s="314" t="s">
        <v>253</v>
      </c>
      <c r="D38" s="314"/>
      <c r="E38" s="314"/>
      <c r="F38" s="157">
        <v>9692.5450999999994</v>
      </c>
    </row>
    <row r="39" spans="3:6" ht="18.75" customHeight="1">
      <c r="C39" s="344" t="s">
        <v>260</v>
      </c>
      <c r="D39" s="344"/>
      <c r="E39" s="344"/>
      <c r="F39" s="161">
        <v>65689.179999999993</v>
      </c>
    </row>
    <row r="40" spans="3:6">
      <c r="C40" s="345" t="s">
        <v>254</v>
      </c>
      <c r="D40" s="345"/>
      <c r="E40" s="345"/>
      <c r="F40" s="52">
        <v>7882.6998119999998</v>
      </c>
    </row>
    <row r="41" spans="3:6" ht="30" customHeight="1"/>
  </sheetData>
  <mergeCells count="19">
    <mergeCell ref="C14:F14"/>
    <mergeCell ref="C24:E24"/>
    <mergeCell ref="C25:E25"/>
    <mergeCell ref="C26:E26"/>
    <mergeCell ref="C27:E27"/>
    <mergeCell ref="C39:E39"/>
    <mergeCell ref="C40:E40"/>
    <mergeCell ref="C23:F23"/>
    <mergeCell ref="C34:E34"/>
    <mergeCell ref="C35:E35"/>
    <mergeCell ref="C36:E36"/>
    <mergeCell ref="C37:E37"/>
    <mergeCell ref="C38:E38"/>
    <mergeCell ref="C28:E28"/>
    <mergeCell ref="C29:E29"/>
    <mergeCell ref="C30:E30"/>
    <mergeCell ref="C31:E31"/>
    <mergeCell ref="C32:E32"/>
    <mergeCell ref="C33:E3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B1:R183"/>
  <sheetViews>
    <sheetView showGridLines="0" workbookViewId="0">
      <selection activeCell="E21" sqref="E21"/>
    </sheetView>
  </sheetViews>
  <sheetFormatPr baseColWidth="10" defaultRowHeight="15"/>
  <cols>
    <col min="2" max="2" width="18.5703125" customWidth="1"/>
    <col min="3" max="3" width="31.85546875" customWidth="1"/>
    <col min="4" max="5" width="12" bestFit="1" customWidth="1"/>
    <col min="6" max="6" width="13.140625" customWidth="1"/>
    <col min="7" max="7" width="13" bestFit="1" customWidth="1"/>
    <col min="8" max="8" width="13.28515625" customWidth="1"/>
    <col min="9" max="9" width="14.140625" customWidth="1"/>
    <col min="10" max="10" width="13.42578125" customWidth="1"/>
    <col min="11" max="11" width="13" customWidth="1"/>
    <col min="12" max="12" width="22.28515625" customWidth="1"/>
    <col min="13" max="13" width="29.28515625" customWidth="1"/>
    <col min="14" max="18" width="12" bestFit="1" customWidth="1"/>
  </cols>
  <sheetData>
    <row r="1" spans="3:14" s="75" customFormat="1">
      <c r="M1" s="269"/>
      <c r="N1" s="269"/>
    </row>
    <row r="2" spans="3:14">
      <c r="D2" s="120">
        <v>2014</v>
      </c>
      <c r="E2" s="120">
        <v>2015</v>
      </c>
      <c r="F2" s="120">
        <v>2016</v>
      </c>
      <c r="G2" s="120">
        <v>2017</v>
      </c>
      <c r="H2" s="120">
        <v>2018</v>
      </c>
      <c r="I2" s="120">
        <v>2019</v>
      </c>
      <c r="J2" s="120">
        <v>2020</v>
      </c>
      <c r="K2" s="120">
        <v>2021</v>
      </c>
      <c r="M2" s="269"/>
      <c r="N2" s="269"/>
    </row>
    <row r="3" spans="3:14">
      <c r="C3" s="265" t="s">
        <v>286</v>
      </c>
      <c r="D3" s="266">
        <f>+N12</f>
        <v>29454.574236196229</v>
      </c>
      <c r="E3" s="266">
        <f>+N25</f>
        <v>33862.10753944685</v>
      </c>
      <c r="F3" s="266">
        <f>+N38</f>
        <v>36674.213157225699</v>
      </c>
      <c r="G3" s="266">
        <f>+N51</f>
        <v>38512.317183681582</v>
      </c>
      <c r="H3" s="266">
        <f>+N64</f>
        <v>41410.938958295454</v>
      </c>
      <c r="I3" s="266">
        <f>+N77</f>
        <v>43494.962304292341</v>
      </c>
      <c r="J3" s="266">
        <f>+N90</f>
        <v>46545.619318822231</v>
      </c>
      <c r="K3" s="266">
        <f>+N103</f>
        <v>48900.426917659963</v>
      </c>
      <c r="M3" s="269"/>
      <c r="N3" s="269"/>
    </row>
    <row r="4" spans="3:14" ht="19.5" customHeight="1" thickBot="1">
      <c r="C4" s="267" t="s">
        <v>287</v>
      </c>
      <c r="D4" s="268">
        <f>+N14</f>
        <v>1592.139147902499</v>
      </c>
      <c r="E4" s="268">
        <f>+N27</f>
        <v>1574.9817460207837</v>
      </c>
      <c r="F4" s="268">
        <f>+N40</f>
        <v>1560.6048152010935</v>
      </c>
      <c r="G4" s="268">
        <f>+N53</f>
        <v>1638.8220078162376</v>
      </c>
      <c r="H4" s="268">
        <f>+N66</f>
        <v>1623.9583905213904</v>
      </c>
      <c r="I4" s="268">
        <f>+N79</f>
        <v>1705.6847962467584</v>
      </c>
      <c r="J4" s="268">
        <f>+N92</f>
        <v>1692.5679752298993</v>
      </c>
      <c r="K4" s="268">
        <f>+N105</f>
        <v>1778.1973424603623</v>
      </c>
      <c r="L4" s="160"/>
      <c r="M4" s="269"/>
      <c r="N4" s="269"/>
    </row>
    <row r="5" spans="3:14" s="75" customFormat="1" ht="16.5" customHeight="1" thickTop="1">
      <c r="C5" s="160"/>
      <c r="D5" s="160"/>
      <c r="E5" s="160"/>
      <c r="F5" s="160"/>
      <c r="G5" s="160"/>
      <c r="H5" s="160"/>
      <c r="I5" s="160"/>
      <c r="J5" s="160"/>
      <c r="K5" s="160"/>
      <c r="L5" s="160"/>
      <c r="M5" s="269"/>
      <c r="N5" s="269"/>
    </row>
    <row r="6" spans="3:14" s="75" customFormat="1" ht="16.5" customHeight="1">
      <c r="C6" s="160"/>
      <c r="D6" s="160"/>
      <c r="E6" s="160"/>
      <c r="F6" s="160"/>
      <c r="G6" s="160"/>
      <c r="H6" s="160"/>
      <c r="I6" s="160"/>
      <c r="J6" s="160"/>
      <c r="K6" s="160"/>
      <c r="L6" s="160"/>
      <c r="M6" s="269"/>
      <c r="N6" s="269"/>
    </row>
    <row r="7" spans="3:14" s="75" customFormat="1" ht="22.5" customHeight="1">
      <c r="C7" s="348">
        <v>2014</v>
      </c>
      <c r="D7" s="348"/>
      <c r="E7" s="348"/>
      <c r="F7" s="348"/>
      <c r="G7" s="348"/>
      <c r="H7" s="348"/>
      <c r="I7" s="348"/>
      <c r="J7" s="160"/>
      <c r="K7" s="160"/>
      <c r="L7" s="160"/>
      <c r="M7" s="269"/>
      <c r="N7" s="269"/>
    </row>
    <row r="8" spans="3:14" s="75" customFormat="1" ht="16.5" customHeight="1">
      <c r="C8" s="148"/>
      <c r="D8" s="148" t="s">
        <v>5</v>
      </c>
      <c r="E8" s="148" t="s">
        <v>6</v>
      </c>
      <c r="F8" s="148" t="s">
        <v>7</v>
      </c>
      <c r="G8" s="148" t="s">
        <v>8</v>
      </c>
      <c r="H8" s="148" t="s">
        <v>9</v>
      </c>
      <c r="I8" s="148" t="s">
        <v>10</v>
      </c>
      <c r="J8" s="162"/>
      <c r="K8" s="160"/>
      <c r="L8" s="160"/>
      <c r="M8" s="269"/>
      <c r="N8" s="269"/>
    </row>
    <row r="9" spans="3:14" s="75" customFormat="1" ht="16.5" customHeight="1">
      <c r="C9" s="146" t="s">
        <v>2</v>
      </c>
      <c r="D9" s="146">
        <v>1400</v>
      </c>
      <c r="E9" s="146">
        <v>1400</v>
      </c>
      <c r="F9" s="146">
        <v>1400</v>
      </c>
      <c r="G9" s="146">
        <v>1400</v>
      </c>
      <c r="H9" s="146">
        <v>1400</v>
      </c>
      <c r="I9" s="148">
        <f>+SUM(D9:H9)</f>
        <v>7000</v>
      </c>
      <c r="J9" s="162"/>
      <c r="K9" s="160"/>
      <c r="L9" s="160"/>
      <c r="M9" s="269"/>
      <c r="N9" s="269"/>
    </row>
    <row r="10" spans="3:14" s="75" customFormat="1" ht="16.5" customHeight="1">
      <c r="C10" s="146" t="s">
        <v>277</v>
      </c>
      <c r="D10" s="77">
        <v>18.5</v>
      </c>
      <c r="E10" s="77">
        <v>18.5</v>
      </c>
      <c r="F10" s="77">
        <v>18.5</v>
      </c>
      <c r="G10" s="77">
        <v>18.5</v>
      </c>
      <c r="H10" s="77">
        <v>18.5</v>
      </c>
      <c r="I10" s="77"/>
      <c r="J10" s="162"/>
      <c r="M10" s="258" t="s">
        <v>34</v>
      </c>
      <c r="N10" s="260">
        <f>+C182</f>
        <v>60400</v>
      </c>
    </row>
    <row r="11" spans="3:14" s="75" customFormat="1" ht="14.25" customHeight="1">
      <c r="C11" s="158" t="s">
        <v>14</v>
      </c>
      <c r="D11" s="260">
        <f>+N134</f>
        <v>8.91</v>
      </c>
      <c r="E11" s="260">
        <f t="shared" ref="E11:H11" si="0">+O134</f>
        <v>8.9100009999999994</v>
      </c>
      <c r="F11" s="260">
        <f t="shared" si="0"/>
        <v>9.5</v>
      </c>
      <c r="G11" s="260">
        <f t="shared" si="0"/>
        <v>9.5</v>
      </c>
      <c r="H11" s="260">
        <f t="shared" si="0"/>
        <v>10.10084</v>
      </c>
      <c r="I11" s="160"/>
      <c r="J11" s="160"/>
      <c r="M11" s="258"/>
      <c r="N11" s="258"/>
    </row>
    <row r="12" spans="3:14" s="75" customFormat="1" ht="14.25" customHeight="1">
      <c r="C12" s="258" t="s">
        <v>278</v>
      </c>
      <c r="D12" s="261">
        <f>+D9/I12</f>
        <v>9.4149293880295901E-2</v>
      </c>
      <c r="E12" s="261">
        <f>+E9/I12</f>
        <v>9.4149293880295901E-2</v>
      </c>
      <c r="F12" s="261">
        <f>+F9/I12</f>
        <v>9.4149293880295901E-2</v>
      </c>
      <c r="G12" s="261">
        <f>+G9/I12</f>
        <v>9.4149293880295901E-2</v>
      </c>
      <c r="H12" s="261">
        <f>+H9/I12</f>
        <v>9.4149293880295901E-2</v>
      </c>
      <c r="I12" s="259">
        <f>+C183</f>
        <v>14870</v>
      </c>
      <c r="J12" s="160"/>
      <c r="M12" s="258" t="s">
        <v>284</v>
      </c>
      <c r="N12" s="260">
        <f>+N10*I17</f>
        <v>29454.574236196229</v>
      </c>
    </row>
    <row r="13" spans="3:14" s="75" customFormat="1" ht="14.25" customHeight="1">
      <c r="C13" s="258" t="s">
        <v>279</v>
      </c>
      <c r="D13" s="260">
        <f>+D11+D12</f>
        <v>9.0041492938802961</v>
      </c>
      <c r="E13" s="260">
        <f t="shared" ref="E13:H13" si="1">+E11+E12</f>
        <v>9.0041502938802953</v>
      </c>
      <c r="F13" s="260">
        <f t="shared" si="1"/>
        <v>9.5941492938802959</v>
      </c>
      <c r="G13" s="260">
        <f t="shared" si="1"/>
        <v>9.5941492938802959</v>
      </c>
      <c r="H13" s="260">
        <f t="shared" si="1"/>
        <v>10.194989293880296</v>
      </c>
      <c r="I13" s="160"/>
      <c r="J13" s="160"/>
      <c r="M13" s="258"/>
      <c r="N13" s="258"/>
    </row>
    <row r="14" spans="3:14" s="75" customFormat="1" ht="14.25" customHeight="1">
      <c r="C14" s="258" t="s">
        <v>13</v>
      </c>
      <c r="D14" s="261">
        <f>+D10*D9</f>
        <v>25900</v>
      </c>
      <c r="E14" s="261">
        <f t="shared" ref="E14:H14" si="2">+E10*E9</f>
        <v>25900</v>
      </c>
      <c r="F14" s="261">
        <f t="shared" si="2"/>
        <v>25900</v>
      </c>
      <c r="G14" s="261">
        <f t="shared" si="2"/>
        <v>25900</v>
      </c>
      <c r="H14" s="261">
        <f t="shared" si="2"/>
        <v>25900</v>
      </c>
      <c r="I14" s="259">
        <f>+SUM(D14:H14)</f>
        <v>129500</v>
      </c>
      <c r="J14" s="160"/>
      <c r="M14" s="258" t="s">
        <v>285</v>
      </c>
      <c r="N14" s="264">
        <f>+N12/D10</f>
        <v>1592.139147902499</v>
      </c>
    </row>
    <row r="15" spans="3:14" s="75" customFormat="1" ht="14.25" customHeight="1">
      <c r="C15" s="258" t="s">
        <v>280</v>
      </c>
      <c r="D15" s="53">
        <f>+D14/I14</f>
        <v>0.2</v>
      </c>
      <c r="E15" s="53">
        <f>+E14/I14</f>
        <v>0.2</v>
      </c>
      <c r="F15" s="53">
        <f>+F14/I14</f>
        <v>0.2</v>
      </c>
      <c r="G15" s="53">
        <f>+G14/I14</f>
        <v>0.2</v>
      </c>
      <c r="H15" s="53">
        <f>+H14/I14</f>
        <v>0.2</v>
      </c>
      <c r="I15" s="259"/>
      <c r="J15" s="160"/>
      <c r="M15" s="258"/>
      <c r="N15" s="258"/>
    </row>
    <row r="16" spans="3:14" s="75" customFormat="1" ht="14.25" customHeight="1">
      <c r="C16" s="158" t="s">
        <v>281</v>
      </c>
      <c r="D16" s="53">
        <f>1-D13/D10</f>
        <v>0.51328922735782179</v>
      </c>
      <c r="E16" s="53">
        <f>1-E13/E10</f>
        <v>0.51328917330376789</v>
      </c>
      <c r="F16" s="53">
        <f t="shared" ref="F16:H16" si="3">1-F13/F10</f>
        <v>0.48139733546593</v>
      </c>
      <c r="G16" s="53">
        <f t="shared" si="3"/>
        <v>0.48139733546593</v>
      </c>
      <c r="H16" s="53">
        <f t="shared" si="3"/>
        <v>0.44891949762809213</v>
      </c>
      <c r="I16" s="262"/>
      <c r="J16" s="160"/>
      <c r="M16" s="258"/>
      <c r="N16" s="258"/>
    </row>
    <row r="17" spans="2:14" s="75" customFormat="1" ht="37.5" customHeight="1">
      <c r="B17" s="158" t="s">
        <v>283</v>
      </c>
      <c r="C17" s="258" t="s">
        <v>282</v>
      </c>
      <c r="D17" s="53">
        <f>+D15*D16</f>
        <v>0.10265784547156437</v>
      </c>
      <c r="E17" s="53">
        <f t="shared" ref="E17:H17" si="4">+E15*E16</f>
        <v>0.10265783466075358</v>
      </c>
      <c r="F17" s="53">
        <f t="shared" si="4"/>
        <v>9.6279467093186008E-2</v>
      </c>
      <c r="G17" s="53">
        <f t="shared" si="4"/>
        <v>9.6279467093186008E-2</v>
      </c>
      <c r="H17" s="53">
        <f t="shared" si="4"/>
        <v>8.9783899525618438E-2</v>
      </c>
      <c r="I17" s="262">
        <f t="shared" ref="I17" si="5">+SUM(D17:H17)</f>
        <v>0.48765851384430842</v>
      </c>
      <c r="J17" s="160"/>
      <c r="M17" s="258"/>
      <c r="N17" s="258"/>
    </row>
    <row r="18" spans="2:14" s="75" customFormat="1" ht="14.25" customHeight="1">
      <c r="C18" s="160"/>
      <c r="D18" s="160"/>
      <c r="E18" s="160"/>
      <c r="F18" s="160"/>
      <c r="G18" s="160"/>
      <c r="H18" s="160"/>
      <c r="I18" s="160"/>
      <c r="J18" s="160"/>
      <c r="M18" s="258"/>
      <c r="N18" s="258"/>
    </row>
    <row r="19" spans="2:14" s="75" customFormat="1" ht="14.25" customHeight="1">
      <c r="C19" s="160"/>
      <c r="D19" s="160"/>
      <c r="E19" s="160"/>
      <c r="F19" s="160"/>
      <c r="G19" s="160"/>
      <c r="H19" s="160"/>
      <c r="I19" s="160"/>
      <c r="J19" s="160"/>
      <c r="M19" s="258"/>
      <c r="N19" s="258"/>
    </row>
    <row r="20" spans="2:14" s="75" customFormat="1" ht="23.25" customHeight="1">
      <c r="C20" s="348">
        <v>2015</v>
      </c>
      <c r="D20" s="348"/>
      <c r="E20" s="348"/>
      <c r="F20" s="348"/>
      <c r="G20" s="348"/>
      <c r="H20" s="348"/>
      <c r="I20" s="348"/>
      <c r="J20" s="160"/>
      <c r="M20" s="258"/>
      <c r="N20" s="258"/>
    </row>
    <row r="21" spans="2:14" s="75" customFormat="1" ht="14.25" customHeight="1">
      <c r="C21" s="148"/>
      <c r="D21" s="148" t="s">
        <v>5</v>
      </c>
      <c r="E21" s="148" t="s">
        <v>6</v>
      </c>
      <c r="F21" s="148" t="s">
        <v>7</v>
      </c>
      <c r="G21" s="148" t="s">
        <v>8</v>
      </c>
      <c r="H21" s="148" t="s">
        <v>9</v>
      </c>
      <c r="I21" s="148" t="s">
        <v>10</v>
      </c>
      <c r="J21" s="162"/>
      <c r="M21" s="258"/>
      <c r="N21" s="258"/>
    </row>
    <row r="22" spans="2:14" s="75" customFormat="1" ht="14.25" customHeight="1">
      <c r="C22" s="146" t="s">
        <v>2</v>
      </c>
      <c r="D22" s="146">
        <f>+D9*1.05</f>
        <v>1470</v>
      </c>
      <c r="E22" s="146">
        <f t="shared" ref="E22:H22" si="6">+E9*1.05</f>
        <v>1470</v>
      </c>
      <c r="F22" s="146">
        <f t="shared" si="6"/>
        <v>1470</v>
      </c>
      <c r="G22" s="146">
        <f t="shared" si="6"/>
        <v>1470</v>
      </c>
      <c r="H22" s="146">
        <f t="shared" si="6"/>
        <v>1470</v>
      </c>
      <c r="I22" s="148">
        <f>+SUM(D22:H22)</f>
        <v>7350</v>
      </c>
      <c r="J22" s="162"/>
      <c r="M22" s="258"/>
      <c r="N22" s="258"/>
    </row>
    <row r="23" spans="2:14" s="75" customFormat="1" ht="14.25" customHeight="1">
      <c r="C23" s="146" t="s">
        <v>277</v>
      </c>
      <c r="D23" s="77">
        <f>+E140</f>
        <v>21.5</v>
      </c>
      <c r="E23" s="77">
        <f t="shared" ref="E23:H23" si="7">+F140</f>
        <v>21.5</v>
      </c>
      <c r="F23" s="77">
        <f t="shared" si="7"/>
        <v>21.5</v>
      </c>
      <c r="G23" s="77">
        <f t="shared" si="7"/>
        <v>21.5</v>
      </c>
      <c r="H23" s="77">
        <f t="shared" si="7"/>
        <v>21.5</v>
      </c>
      <c r="I23" s="77"/>
      <c r="J23" s="162"/>
      <c r="M23" s="258" t="s">
        <v>34</v>
      </c>
      <c r="N23" s="260">
        <f>+D182</f>
        <v>60480</v>
      </c>
    </row>
    <row r="24" spans="2:14" s="75" customFormat="1" ht="14.25" customHeight="1">
      <c r="C24" s="158" t="s">
        <v>14</v>
      </c>
      <c r="D24" s="260">
        <f>+N140</f>
        <v>8.91</v>
      </c>
      <c r="E24" s="260">
        <f t="shared" ref="E24:H24" si="8">+O140</f>
        <v>8.91</v>
      </c>
      <c r="F24" s="260">
        <f t="shared" si="8"/>
        <v>9.5</v>
      </c>
      <c r="G24" s="260">
        <f t="shared" si="8"/>
        <v>9.5</v>
      </c>
      <c r="H24" s="260">
        <f t="shared" si="8"/>
        <v>10.1</v>
      </c>
      <c r="I24" s="160"/>
      <c r="J24" s="160"/>
      <c r="M24" s="258"/>
      <c r="N24" s="258"/>
    </row>
    <row r="25" spans="2:14" s="75" customFormat="1" ht="14.25" customHeight="1">
      <c r="C25" s="258" t="s">
        <v>278</v>
      </c>
      <c r="D25" s="261">
        <f>+D22/I25</f>
        <v>7.8379098906958142E-2</v>
      </c>
      <c r="E25" s="261">
        <f>+E22/I25</f>
        <v>7.8379098906958142E-2</v>
      </c>
      <c r="F25" s="261">
        <f>+F22/I25</f>
        <v>7.8379098906958142E-2</v>
      </c>
      <c r="G25" s="261">
        <f>+G22/I25</f>
        <v>7.8379098906958142E-2</v>
      </c>
      <c r="H25" s="261">
        <f>+H22/I25</f>
        <v>7.8379098906958142E-2</v>
      </c>
      <c r="I25" s="259">
        <f>+D183</f>
        <v>18755</v>
      </c>
      <c r="J25" s="160"/>
      <c r="M25" s="258" t="s">
        <v>284</v>
      </c>
      <c r="N25" s="260">
        <f>+N23*I30</f>
        <v>33862.10753944685</v>
      </c>
    </row>
    <row r="26" spans="2:14" s="75" customFormat="1" ht="14.25" customHeight="1">
      <c r="C26" s="258" t="s">
        <v>279</v>
      </c>
      <c r="D26" s="260">
        <f>+D24+D25</f>
        <v>8.9883790989069574</v>
      </c>
      <c r="E26" s="260">
        <f t="shared" ref="E26" si="9">+E24+E25</f>
        <v>8.9883790989069574</v>
      </c>
      <c r="F26" s="260">
        <f t="shared" ref="F26" si="10">+F24+F25</f>
        <v>9.5783790989069573</v>
      </c>
      <c r="G26" s="260">
        <f t="shared" ref="G26" si="11">+G24+G25</f>
        <v>9.5783790989069573</v>
      </c>
      <c r="H26" s="260">
        <f t="shared" ref="H26" si="12">+H24+H25</f>
        <v>10.178379098906957</v>
      </c>
      <c r="I26" s="160"/>
      <c r="J26" s="160"/>
      <c r="M26" s="258"/>
      <c r="N26" s="258"/>
    </row>
    <row r="27" spans="2:14" s="75" customFormat="1" ht="14.25" customHeight="1">
      <c r="C27" s="258" t="s">
        <v>13</v>
      </c>
      <c r="D27" s="261">
        <f>+D23*D22</f>
        <v>31605</v>
      </c>
      <c r="E27" s="261">
        <f t="shared" ref="E27:H27" si="13">+E23*E22</f>
        <v>31605</v>
      </c>
      <c r="F27" s="261">
        <f t="shared" si="13"/>
        <v>31605</v>
      </c>
      <c r="G27" s="261">
        <f t="shared" si="13"/>
        <v>31605</v>
      </c>
      <c r="H27" s="261">
        <f t="shared" si="13"/>
        <v>31605</v>
      </c>
      <c r="I27" s="259">
        <f>+SUM(D27:H27)</f>
        <v>158025</v>
      </c>
      <c r="J27" s="160"/>
      <c r="M27" s="258" t="s">
        <v>285</v>
      </c>
      <c r="N27" s="264">
        <f>+N25/D23</f>
        <v>1574.9817460207837</v>
      </c>
    </row>
    <row r="28" spans="2:14" s="75" customFormat="1" ht="14.25" customHeight="1">
      <c r="C28" s="258" t="s">
        <v>280</v>
      </c>
      <c r="D28" s="53">
        <f>+D27/I27</f>
        <v>0.2</v>
      </c>
      <c r="E28" s="53">
        <f>+E27/I27</f>
        <v>0.2</v>
      </c>
      <c r="F28" s="53">
        <f>+F27/I27</f>
        <v>0.2</v>
      </c>
      <c r="G28" s="53">
        <f>+G27/I27</f>
        <v>0.2</v>
      </c>
      <c r="H28" s="53">
        <f>+H27/I27</f>
        <v>0.2</v>
      </c>
      <c r="I28" s="259"/>
      <c r="J28" s="160"/>
      <c r="M28" s="258"/>
      <c r="N28" s="258"/>
    </row>
    <row r="29" spans="2:14" s="75" customFormat="1" ht="14.25" customHeight="1">
      <c r="C29" s="158" t="s">
        <v>281</v>
      </c>
      <c r="D29" s="53">
        <f>1-D26/D23</f>
        <v>0.58193585586479268</v>
      </c>
      <c r="E29" s="53">
        <f>1-E26/E23</f>
        <v>0.58193585586479268</v>
      </c>
      <c r="F29" s="53">
        <f t="shared" ref="F29:H29" si="14">1-F26/F23</f>
        <v>0.55449399539967636</v>
      </c>
      <c r="G29" s="53">
        <f t="shared" si="14"/>
        <v>0.55449399539967636</v>
      </c>
      <c r="H29" s="53">
        <f t="shared" si="14"/>
        <v>0.5265870186554904</v>
      </c>
      <c r="I29" s="262"/>
      <c r="J29" s="160"/>
      <c r="M29" s="258"/>
      <c r="N29" s="258"/>
    </row>
    <row r="30" spans="2:14" s="75" customFormat="1" ht="14.25" customHeight="1">
      <c r="B30" s="158" t="s">
        <v>283</v>
      </c>
      <c r="C30" s="258" t="s">
        <v>282</v>
      </c>
      <c r="D30" s="53">
        <f>+D28*D29</f>
        <v>0.11638717117295855</v>
      </c>
      <c r="E30" s="53">
        <f t="shared" ref="E30" si="15">+E28*E29</f>
        <v>0.11638717117295855</v>
      </c>
      <c r="F30" s="53">
        <f t="shared" ref="F30" si="16">+F28*F29</f>
        <v>0.11089879907993527</v>
      </c>
      <c r="G30" s="53">
        <f t="shared" ref="G30" si="17">+G28*G29</f>
        <v>0.11089879907993527</v>
      </c>
      <c r="H30" s="53">
        <f t="shared" ref="H30" si="18">+H28*H29</f>
        <v>0.10531740373109809</v>
      </c>
      <c r="I30" s="262">
        <f t="shared" ref="I30" si="19">+SUM(D30:H30)</f>
        <v>0.55988934423688574</v>
      </c>
      <c r="J30" s="160"/>
      <c r="M30" s="258"/>
      <c r="N30" s="258"/>
    </row>
    <row r="31" spans="2:14" s="75" customFormat="1" ht="14.25" customHeight="1">
      <c r="C31" s="160"/>
      <c r="D31" s="160"/>
      <c r="E31" s="160"/>
      <c r="F31" s="160"/>
      <c r="G31" s="160"/>
      <c r="H31" s="160"/>
      <c r="I31" s="160"/>
      <c r="J31" s="160"/>
      <c r="M31" s="258"/>
      <c r="N31" s="258"/>
    </row>
    <row r="32" spans="2:14" s="75" customFormat="1" ht="14.25" customHeight="1">
      <c r="C32" s="160"/>
      <c r="D32" s="160"/>
      <c r="E32" s="160"/>
      <c r="F32" s="160"/>
      <c r="G32" s="160"/>
      <c r="H32" s="160"/>
      <c r="I32" s="160"/>
      <c r="J32" s="160"/>
      <c r="M32" s="258"/>
      <c r="N32" s="258"/>
    </row>
    <row r="33" spans="2:14" s="75" customFormat="1" ht="28.5" customHeight="1">
      <c r="C33" s="348">
        <v>2016</v>
      </c>
      <c r="D33" s="348"/>
      <c r="E33" s="348"/>
      <c r="F33" s="348"/>
      <c r="G33" s="348"/>
      <c r="H33" s="348"/>
      <c r="I33" s="348"/>
      <c r="J33" s="160"/>
      <c r="M33" s="258"/>
      <c r="N33" s="258"/>
    </row>
    <row r="34" spans="2:14" s="75" customFormat="1" ht="14.25" customHeight="1">
      <c r="C34" s="148"/>
      <c r="D34" s="148" t="s">
        <v>5</v>
      </c>
      <c r="E34" s="148" t="s">
        <v>6</v>
      </c>
      <c r="F34" s="148" t="s">
        <v>7</v>
      </c>
      <c r="G34" s="148" t="s">
        <v>8</v>
      </c>
      <c r="H34" s="148" t="s">
        <v>9</v>
      </c>
      <c r="I34" s="148" t="s">
        <v>10</v>
      </c>
      <c r="J34" s="162"/>
      <c r="M34" s="258"/>
      <c r="N34" s="258"/>
    </row>
    <row r="35" spans="2:14" s="75" customFormat="1" ht="14.25" customHeight="1">
      <c r="C35" s="146" t="s">
        <v>2</v>
      </c>
      <c r="D35" s="98">
        <f>+D22*1.05</f>
        <v>1543.5</v>
      </c>
      <c r="E35" s="98">
        <f t="shared" ref="E35:H35" si="20">+E22*1.05</f>
        <v>1543.5</v>
      </c>
      <c r="F35" s="98">
        <f t="shared" si="20"/>
        <v>1543.5</v>
      </c>
      <c r="G35" s="98">
        <f t="shared" si="20"/>
        <v>1543.5</v>
      </c>
      <c r="H35" s="98">
        <f t="shared" si="20"/>
        <v>1543.5</v>
      </c>
      <c r="I35" s="263">
        <f>+SUM(D35:H35)</f>
        <v>7717.5</v>
      </c>
      <c r="J35" s="162"/>
      <c r="M35" s="258"/>
      <c r="N35" s="258"/>
    </row>
    <row r="36" spans="2:14" s="75" customFormat="1" ht="14.25" customHeight="1">
      <c r="C36" s="146" t="s">
        <v>277</v>
      </c>
      <c r="D36" s="77">
        <f>+E146</f>
        <v>23.5</v>
      </c>
      <c r="E36" s="77">
        <f t="shared" ref="E36:H36" si="21">+F146</f>
        <v>23.5</v>
      </c>
      <c r="F36" s="77">
        <f t="shared" si="21"/>
        <v>23.5</v>
      </c>
      <c r="G36" s="77">
        <f t="shared" si="21"/>
        <v>23.5</v>
      </c>
      <c r="H36" s="77">
        <f t="shared" si="21"/>
        <v>23.5</v>
      </c>
      <c r="I36" s="77"/>
      <c r="J36" s="162"/>
      <c r="M36" s="258" t="s">
        <v>34</v>
      </c>
      <c r="N36" s="260">
        <f>+E182</f>
        <v>63504</v>
      </c>
    </row>
    <row r="37" spans="2:14" s="75" customFormat="1" ht="14.25" customHeight="1">
      <c r="C37" s="158" t="s">
        <v>14</v>
      </c>
      <c r="D37" s="260">
        <f>+N146</f>
        <v>9.355500000000001</v>
      </c>
      <c r="E37" s="260">
        <f t="shared" ref="E37:H37" si="22">+O146</f>
        <v>9.355500000000001</v>
      </c>
      <c r="F37" s="260">
        <f t="shared" si="22"/>
        <v>9.9749999999999996</v>
      </c>
      <c r="G37" s="260">
        <f t="shared" si="22"/>
        <v>9.9749999999999996</v>
      </c>
      <c r="H37" s="260">
        <f t="shared" si="22"/>
        <v>10.605</v>
      </c>
      <c r="I37" s="160"/>
      <c r="J37" s="160"/>
      <c r="M37" s="258"/>
      <c r="N37" s="258"/>
    </row>
    <row r="38" spans="2:14" s="75" customFormat="1" ht="14.25" customHeight="1">
      <c r="C38" s="258" t="s">
        <v>278</v>
      </c>
      <c r="D38" s="261">
        <f>+D35/I38</f>
        <v>7.5308295622263155E-2</v>
      </c>
      <c r="E38" s="261">
        <f>+E35/I38</f>
        <v>7.5308295622263155E-2</v>
      </c>
      <c r="F38" s="261">
        <f>+F35/I38</f>
        <v>7.5308295622263155E-2</v>
      </c>
      <c r="G38" s="261">
        <f>+G35/I38</f>
        <v>7.5308295622263155E-2</v>
      </c>
      <c r="H38" s="261">
        <f>+H35/I38</f>
        <v>7.5308295622263155E-2</v>
      </c>
      <c r="I38" s="259">
        <f>+E183</f>
        <v>20495.75</v>
      </c>
      <c r="J38" s="160"/>
      <c r="M38" s="258" t="s">
        <v>284</v>
      </c>
      <c r="N38" s="260">
        <f>+N36*I43</f>
        <v>36674.213157225699</v>
      </c>
    </row>
    <row r="39" spans="2:14" s="75" customFormat="1" ht="14.25" customHeight="1">
      <c r="C39" s="258" t="s">
        <v>279</v>
      </c>
      <c r="D39" s="260">
        <f>+D37+D38</f>
        <v>9.4308082956222634</v>
      </c>
      <c r="E39" s="260">
        <f t="shared" ref="E39" si="23">+E37+E38</f>
        <v>9.4308082956222634</v>
      </c>
      <c r="F39" s="260">
        <f t="shared" ref="F39" si="24">+F37+F38</f>
        <v>10.050308295622262</v>
      </c>
      <c r="G39" s="260">
        <f t="shared" ref="G39" si="25">+G37+G38</f>
        <v>10.050308295622262</v>
      </c>
      <c r="H39" s="260">
        <f t="shared" ref="H39" si="26">+H37+H38</f>
        <v>10.680308295622263</v>
      </c>
      <c r="I39" s="160"/>
      <c r="J39" s="160"/>
      <c r="M39" s="258"/>
      <c r="N39" s="258"/>
    </row>
    <row r="40" spans="2:14" s="75" customFormat="1" ht="14.25" customHeight="1">
      <c r="C40" s="258" t="s">
        <v>13</v>
      </c>
      <c r="D40" s="261">
        <f>+D36*D35</f>
        <v>36272.25</v>
      </c>
      <c r="E40" s="261">
        <f t="shared" ref="E40:H40" si="27">+E36*E35</f>
        <v>36272.25</v>
      </c>
      <c r="F40" s="261">
        <f t="shared" si="27"/>
        <v>36272.25</v>
      </c>
      <c r="G40" s="261">
        <f t="shared" si="27"/>
        <v>36272.25</v>
      </c>
      <c r="H40" s="261">
        <f t="shared" si="27"/>
        <v>36272.25</v>
      </c>
      <c r="I40" s="259">
        <f>+SUM(D40:H40)</f>
        <v>181361.25</v>
      </c>
      <c r="J40" s="160"/>
      <c r="M40" s="258" t="s">
        <v>285</v>
      </c>
      <c r="N40" s="264">
        <f>+N38/D36</f>
        <v>1560.6048152010935</v>
      </c>
    </row>
    <row r="41" spans="2:14" s="75" customFormat="1" ht="14.25" customHeight="1">
      <c r="C41" s="258" t="s">
        <v>280</v>
      </c>
      <c r="D41" s="53">
        <f>+D40/I40</f>
        <v>0.2</v>
      </c>
      <c r="E41" s="53">
        <f>+E40/I40</f>
        <v>0.2</v>
      </c>
      <c r="F41" s="53">
        <f>+F40/I40</f>
        <v>0.2</v>
      </c>
      <c r="G41" s="53">
        <f>+G40/I40</f>
        <v>0.2</v>
      </c>
      <c r="H41" s="53">
        <f>+H40/I40</f>
        <v>0.2</v>
      </c>
      <c r="I41" s="259"/>
      <c r="J41" s="160"/>
      <c r="M41" s="258"/>
      <c r="N41" s="258"/>
    </row>
    <row r="42" spans="2:14" s="75" customFormat="1" ht="14.25" customHeight="1">
      <c r="C42" s="158" t="s">
        <v>281</v>
      </c>
      <c r="D42" s="53">
        <f>1-D39/D36</f>
        <v>0.59868900869692498</v>
      </c>
      <c r="E42" s="53">
        <f>1-E39/E36</f>
        <v>0.59868900869692498</v>
      </c>
      <c r="F42" s="53">
        <f t="shared" ref="F42:H42" si="28">1-F39/F36</f>
        <v>0.57232730656926545</v>
      </c>
      <c r="G42" s="53">
        <f t="shared" si="28"/>
        <v>0.57232730656926545</v>
      </c>
      <c r="H42" s="53">
        <f t="shared" si="28"/>
        <v>0.54551879593096753</v>
      </c>
      <c r="I42" s="262"/>
      <c r="J42" s="160"/>
      <c r="M42" s="258"/>
      <c r="N42" s="258"/>
    </row>
    <row r="43" spans="2:14" s="75" customFormat="1" ht="14.25" customHeight="1">
      <c r="B43" s="158" t="s">
        <v>283</v>
      </c>
      <c r="C43" s="258" t="s">
        <v>282</v>
      </c>
      <c r="D43" s="53">
        <f>+D41*D42</f>
        <v>0.119737801739385</v>
      </c>
      <c r="E43" s="53">
        <f t="shared" ref="E43" si="29">+E41*E42</f>
        <v>0.119737801739385</v>
      </c>
      <c r="F43" s="53">
        <f t="shared" ref="F43" si="30">+F41*F42</f>
        <v>0.1144654613138531</v>
      </c>
      <c r="G43" s="53">
        <f t="shared" ref="G43" si="31">+G41*G42</f>
        <v>0.1144654613138531</v>
      </c>
      <c r="H43" s="53">
        <f t="shared" ref="H43" si="32">+H41*H42</f>
        <v>0.10910375918619351</v>
      </c>
      <c r="I43" s="262">
        <f t="shared" ref="I43" si="33">+SUM(D43:H43)</f>
        <v>0.57751028529266968</v>
      </c>
      <c r="J43" s="160"/>
      <c r="M43" s="258"/>
      <c r="N43" s="258"/>
    </row>
    <row r="44" spans="2:14" s="75" customFormat="1" ht="14.25" customHeight="1">
      <c r="C44" s="160"/>
      <c r="D44" s="160"/>
      <c r="E44" s="160"/>
      <c r="F44" s="160"/>
      <c r="G44" s="160"/>
      <c r="H44" s="160"/>
      <c r="I44" s="160"/>
      <c r="J44" s="160"/>
      <c r="M44" s="258"/>
      <c r="N44" s="258"/>
    </row>
    <row r="45" spans="2:14" s="75" customFormat="1" ht="14.25" customHeight="1">
      <c r="C45" s="160"/>
      <c r="D45" s="160"/>
      <c r="E45" s="160"/>
      <c r="F45" s="160"/>
      <c r="G45" s="160"/>
      <c r="H45" s="160"/>
      <c r="I45" s="160"/>
      <c r="J45" s="160"/>
      <c r="M45" s="258"/>
      <c r="N45" s="258"/>
    </row>
    <row r="46" spans="2:14" s="75" customFormat="1" ht="23.25" customHeight="1">
      <c r="C46" s="348">
        <v>2017</v>
      </c>
      <c r="D46" s="348"/>
      <c r="E46" s="348"/>
      <c r="F46" s="348"/>
      <c r="G46" s="348"/>
      <c r="H46" s="348"/>
      <c r="I46" s="348"/>
      <c r="J46" s="160"/>
      <c r="M46" s="258"/>
      <c r="N46" s="258"/>
    </row>
    <row r="47" spans="2:14" s="75" customFormat="1" ht="14.25" customHeight="1">
      <c r="C47" s="148"/>
      <c r="D47" s="148" t="s">
        <v>5</v>
      </c>
      <c r="E47" s="148" t="s">
        <v>6</v>
      </c>
      <c r="F47" s="148" t="s">
        <v>7</v>
      </c>
      <c r="G47" s="148" t="s">
        <v>8</v>
      </c>
      <c r="H47" s="148" t="s">
        <v>9</v>
      </c>
      <c r="I47" s="148" t="s">
        <v>10</v>
      </c>
      <c r="J47" s="162"/>
      <c r="M47" s="258"/>
      <c r="N47" s="258"/>
    </row>
    <row r="48" spans="2:14" s="75" customFormat="1" ht="14.25" customHeight="1">
      <c r="C48" s="146" t="s">
        <v>2</v>
      </c>
      <c r="D48" s="98">
        <f>+D35*1.05</f>
        <v>1620.6750000000002</v>
      </c>
      <c r="E48" s="98">
        <f t="shared" ref="E48:H48" si="34">+E35*1.05</f>
        <v>1620.6750000000002</v>
      </c>
      <c r="F48" s="98">
        <f t="shared" si="34"/>
        <v>1620.6750000000002</v>
      </c>
      <c r="G48" s="98">
        <f t="shared" si="34"/>
        <v>1620.6750000000002</v>
      </c>
      <c r="H48" s="98">
        <f t="shared" si="34"/>
        <v>1620.6750000000002</v>
      </c>
      <c r="I48" s="263">
        <f>+SUM(D48:H48)</f>
        <v>8103.3750000000009</v>
      </c>
      <c r="J48" s="162"/>
      <c r="M48" s="258"/>
      <c r="N48" s="258"/>
    </row>
    <row r="49" spans="2:14" s="75" customFormat="1" ht="14.25" customHeight="1">
      <c r="C49" s="146" t="s">
        <v>277</v>
      </c>
      <c r="D49" s="77">
        <f>+E152</f>
        <v>23.5</v>
      </c>
      <c r="E49" s="77">
        <f t="shared" ref="E49:H49" si="35">+F152</f>
        <v>23.5</v>
      </c>
      <c r="F49" s="77">
        <f t="shared" si="35"/>
        <v>23.5</v>
      </c>
      <c r="G49" s="77">
        <f t="shared" si="35"/>
        <v>23.5</v>
      </c>
      <c r="H49" s="77">
        <f t="shared" si="35"/>
        <v>23.5</v>
      </c>
      <c r="I49" s="77"/>
      <c r="J49" s="162"/>
      <c r="M49" s="258" t="s">
        <v>34</v>
      </c>
      <c r="N49" s="260">
        <f>+F182</f>
        <v>66679.200000000012</v>
      </c>
    </row>
    <row r="50" spans="2:14" s="75" customFormat="1" ht="14.25" customHeight="1">
      <c r="C50" s="158" t="s">
        <v>14</v>
      </c>
      <c r="D50" s="260">
        <f>+N152</f>
        <v>9.355500000000001</v>
      </c>
      <c r="E50" s="260">
        <f t="shared" ref="E50:H50" si="36">+O152</f>
        <v>9.355500000000001</v>
      </c>
      <c r="F50" s="260">
        <f t="shared" si="36"/>
        <v>9.9749999999999996</v>
      </c>
      <c r="G50" s="260">
        <f t="shared" si="36"/>
        <v>9.9749999999999996</v>
      </c>
      <c r="H50" s="260">
        <f t="shared" si="36"/>
        <v>10.605</v>
      </c>
      <c r="I50" s="160"/>
      <c r="J50" s="160"/>
      <c r="M50" s="258"/>
      <c r="N50" s="258"/>
    </row>
    <row r="51" spans="2:14" s="75" customFormat="1" ht="14.25" customHeight="1">
      <c r="C51" s="258" t="s">
        <v>278</v>
      </c>
      <c r="D51" s="261">
        <f>+D48/I51</f>
        <v>7.3759924286479372E-2</v>
      </c>
      <c r="E51" s="261">
        <f>+E48/I51</f>
        <v>7.3759924286479372E-2</v>
      </c>
      <c r="F51" s="261">
        <f>+F48/I51</f>
        <v>7.3759924286479372E-2</v>
      </c>
      <c r="G51" s="261">
        <f>+G48/I51</f>
        <v>7.3759924286479372E-2</v>
      </c>
      <c r="H51" s="261">
        <f>+H48/I51</f>
        <v>7.3759924286479372E-2</v>
      </c>
      <c r="I51" s="259">
        <f>+F183</f>
        <v>21972.297500000001</v>
      </c>
      <c r="J51" s="160"/>
      <c r="M51" s="258" t="s">
        <v>284</v>
      </c>
      <c r="N51" s="260">
        <f>+N49*I56</f>
        <v>38512.317183681582</v>
      </c>
    </row>
    <row r="52" spans="2:14" s="75" customFormat="1" ht="14.25" customHeight="1">
      <c r="C52" s="258" t="s">
        <v>279</v>
      </c>
      <c r="D52" s="260">
        <f>+D50+D51</f>
        <v>9.4292599242864803</v>
      </c>
      <c r="E52" s="260">
        <f t="shared" ref="E52" si="37">+E50+E51</f>
        <v>9.4292599242864803</v>
      </c>
      <c r="F52" s="260">
        <f t="shared" ref="F52" si="38">+F50+F51</f>
        <v>10.048759924286479</v>
      </c>
      <c r="G52" s="260">
        <f t="shared" ref="G52" si="39">+G50+G51</f>
        <v>10.048759924286479</v>
      </c>
      <c r="H52" s="260">
        <f t="shared" ref="H52" si="40">+H50+H51</f>
        <v>10.67875992428648</v>
      </c>
      <c r="I52" s="160"/>
      <c r="J52" s="160"/>
      <c r="M52" s="258"/>
      <c r="N52" s="258"/>
    </row>
    <row r="53" spans="2:14" s="75" customFormat="1" ht="14.25" customHeight="1">
      <c r="C53" s="258" t="s">
        <v>13</v>
      </c>
      <c r="D53" s="261">
        <f>+D49*D48</f>
        <v>38085.862500000003</v>
      </c>
      <c r="E53" s="261">
        <f t="shared" ref="E53:H53" si="41">+E49*E48</f>
        <v>38085.862500000003</v>
      </c>
      <c r="F53" s="261">
        <f t="shared" si="41"/>
        <v>38085.862500000003</v>
      </c>
      <c r="G53" s="261">
        <f t="shared" si="41"/>
        <v>38085.862500000003</v>
      </c>
      <c r="H53" s="261">
        <f t="shared" si="41"/>
        <v>38085.862500000003</v>
      </c>
      <c r="I53" s="259">
        <f>+SUM(D53:H53)</f>
        <v>190429.3125</v>
      </c>
      <c r="J53" s="160"/>
      <c r="M53" s="258" t="s">
        <v>285</v>
      </c>
      <c r="N53" s="264">
        <f>+N51/D49</f>
        <v>1638.8220078162376</v>
      </c>
    </row>
    <row r="54" spans="2:14" s="75" customFormat="1" ht="14.25" customHeight="1">
      <c r="C54" s="258" t="s">
        <v>280</v>
      </c>
      <c r="D54" s="53">
        <f>+D53/I53</f>
        <v>0.2</v>
      </c>
      <c r="E54" s="53">
        <f>+E53/I53</f>
        <v>0.2</v>
      </c>
      <c r="F54" s="53">
        <f>+F53/I53</f>
        <v>0.2</v>
      </c>
      <c r="G54" s="53">
        <f>+G53/I53</f>
        <v>0.2</v>
      </c>
      <c r="H54" s="53">
        <f>+H53/I53</f>
        <v>0.2</v>
      </c>
      <c r="I54" s="259"/>
      <c r="J54" s="160"/>
      <c r="M54" s="258"/>
      <c r="N54" s="258"/>
    </row>
    <row r="55" spans="2:14" s="75" customFormat="1" ht="14.25" customHeight="1">
      <c r="C55" s="158" t="s">
        <v>281</v>
      </c>
      <c r="D55" s="53">
        <f>1-D52/D49</f>
        <v>0.59875489683887317</v>
      </c>
      <c r="E55" s="53">
        <f>1-E52/E49</f>
        <v>0.59875489683887317</v>
      </c>
      <c r="F55" s="53">
        <f t="shared" ref="F55:H55" si="42">1-F52/F49</f>
        <v>0.57239319471121364</v>
      </c>
      <c r="G55" s="53">
        <f t="shared" si="42"/>
        <v>0.57239319471121364</v>
      </c>
      <c r="H55" s="53">
        <f t="shared" si="42"/>
        <v>0.54558468407291572</v>
      </c>
      <c r="I55" s="262"/>
      <c r="J55" s="160"/>
      <c r="M55" s="258"/>
      <c r="N55" s="258"/>
    </row>
    <row r="56" spans="2:14" s="75" customFormat="1" ht="14.25" customHeight="1">
      <c r="B56" s="158" t="s">
        <v>283</v>
      </c>
      <c r="C56" s="258" t="s">
        <v>282</v>
      </c>
      <c r="D56" s="53">
        <f>+D54*D55</f>
        <v>0.11975097936777464</v>
      </c>
      <c r="E56" s="53">
        <f t="shared" ref="E56" si="43">+E54*E55</f>
        <v>0.11975097936777464</v>
      </c>
      <c r="F56" s="53">
        <f t="shared" ref="F56" si="44">+F54*F55</f>
        <v>0.11447863894224274</v>
      </c>
      <c r="G56" s="53">
        <f t="shared" ref="G56" si="45">+G54*G55</f>
        <v>0.11447863894224274</v>
      </c>
      <c r="H56" s="53">
        <f t="shared" ref="H56" si="46">+H54*H55</f>
        <v>0.10911693681458315</v>
      </c>
      <c r="I56" s="262">
        <f t="shared" ref="I56" si="47">+SUM(D56:H56)</f>
        <v>0.57757617343461787</v>
      </c>
      <c r="J56" s="160"/>
      <c r="M56" s="258"/>
      <c r="N56" s="258"/>
    </row>
    <row r="57" spans="2:14" s="75" customFormat="1" ht="14.25" customHeight="1">
      <c r="C57" s="160"/>
      <c r="D57" s="160"/>
      <c r="E57" s="160"/>
      <c r="F57" s="160"/>
      <c r="G57" s="160"/>
      <c r="H57" s="160"/>
      <c r="I57" s="160"/>
      <c r="J57" s="160"/>
      <c r="M57" s="258"/>
      <c r="N57" s="258"/>
    </row>
    <row r="58" spans="2:14" s="75" customFormat="1" ht="14.25" customHeight="1">
      <c r="C58" s="160"/>
      <c r="D58" s="160"/>
      <c r="E58" s="160"/>
      <c r="F58" s="160"/>
      <c r="G58" s="160"/>
      <c r="H58" s="160"/>
      <c r="I58" s="160"/>
      <c r="J58" s="160"/>
      <c r="M58" s="258"/>
      <c r="N58" s="258"/>
    </row>
    <row r="59" spans="2:14" s="75" customFormat="1" ht="21.75" customHeight="1">
      <c r="C59" s="348">
        <v>2018</v>
      </c>
      <c r="D59" s="348"/>
      <c r="E59" s="348"/>
      <c r="F59" s="348"/>
      <c r="G59" s="348"/>
      <c r="H59" s="348"/>
      <c r="I59" s="348"/>
      <c r="J59" s="160"/>
      <c r="M59" s="258"/>
      <c r="N59" s="258"/>
    </row>
    <row r="60" spans="2:14" s="75" customFormat="1" ht="14.25" customHeight="1">
      <c r="C60" s="148"/>
      <c r="D60" s="148" t="s">
        <v>5</v>
      </c>
      <c r="E60" s="148" t="s">
        <v>6</v>
      </c>
      <c r="F60" s="148" t="s">
        <v>7</v>
      </c>
      <c r="G60" s="148" t="s">
        <v>8</v>
      </c>
      <c r="H60" s="148" t="s">
        <v>9</v>
      </c>
      <c r="I60" s="148" t="s">
        <v>10</v>
      </c>
      <c r="J60" s="162"/>
      <c r="M60" s="258"/>
      <c r="N60" s="258"/>
    </row>
    <row r="61" spans="2:14" s="75" customFormat="1" ht="14.25" customHeight="1">
      <c r="C61" s="146" t="s">
        <v>2</v>
      </c>
      <c r="D61" s="98">
        <f>+D48*1.05</f>
        <v>1701.7087500000002</v>
      </c>
      <c r="E61" s="98">
        <f t="shared" ref="E61:H61" si="48">+E48*1.05</f>
        <v>1701.7087500000002</v>
      </c>
      <c r="F61" s="98">
        <f t="shared" si="48"/>
        <v>1701.7087500000002</v>
      </c>
      <c r="G61" s="98">
        <f t="shared" si="48"/>
        <v>1701.7087500000002</v>
      </c>
      <c r="H61" s="98">
        <f t="shared" si="48"/>
        <v>1701.7087500000002</v>
      </c>
      <c r="I61" s="263">
        <f>+SUM(D61:H61)</f>
        <v>8508.5437500000007</v>
      </c>
      <c r="J61" s="162"/>
      <c r="M61" s="258"/>
      <c r="N61" s="258"/>
    </row>
    <row r="62" spans="2:14" s="75" customFormat="1" ht="14.25" customHeight="1">
      <c r="C62" s="146" t="s">
        <v>277</v>
      </c>
      <c r="D62" s="77">
        <f>+E158</f>
        <v>25.5</v>
      </c>
      <c r="E62" s="77">
        <f t="shared" ref="E62:H62" si="49">+F158</f>
        <v>25.5</v>
      </c>
      <c r="F62" s="77">
        <f t="shared" si="49"/>
        <v>25.5</v>
      </c>
      <c r="G62" s="77">
        <f t="shared" si="49"/>
        <v>25.5</v>
      </c>
      <c r="H62" s="77">
        <f t="shared" si="49"/>
        <v>25.5</v>
      </c>
      <c r="I62" s="77"/>
      <c r="J62" s="162"/>
      <c r="M62" s="258" t="s">
        <v>34</v>
      </c>
      <c r="N62" s="260">
        <f>+G182</f>
        <v>70013.16</v>
      </c>
    </row>
    <row r="63" spans="2:14" s="75" customFormat="1" ht="14.25" customHeight="1">
      <c r="C63" s="158" t="s">
        <v>14</v>
      </c>
      <c r="D63" s="260">
        <f>+N158</f>
        <v>9.8232750000000006</v>
      </c>
      <c r="E63" s="260">
        <f t="shared" ref="E63:H63" si="50">+O158</f>
        <v>9.8232750000000006</v>
      </c>
      <c r="F63" s="260">
        <f t="shared" si="50"/>
        <v>10.473750000000001</v>
      </c>
      <c r="G63" s="260">
        <f t="shared" si="50"/>
        <v>10.473750000000001</v>
      </c>
      <c r="H63" s="260">
        <f t="shared" si="50"/>
        <v>11.135250000000001</v>
      </c>
      <c r="I63" s="160"/>
      <c r="J63" s="160"/>
      <c r="M63" s="258"/>
      <c r="N63" s="258"/>
    </row>
    <row r="64" spans="2:14" s="75" customFormat="1" ht="14.25" customHeight="1">
      <c r="C64" s="258" t="s">
        <v>278</v>
      </c>
      <c r="D64" s="261">
        <f>+D61/I64</f>
        <v>7.1562046990393896E-2</v>
      </c>
      <c r="E64" s="261">
        <f>+E61/I64</f>
        <v>7.1562046990393896E-2</v>
      </c>
      <c r="F64" s="261">
        <f>+F61/I64</f>
        <v>7.1562046990393896E-2</v>
      </c>
      <c r="G64" s="261">
        <f>+G61/I64</f>
        <v>7.1562046990393896E-2</v>
      </c>
      <c r="H64" s="261">
        <f>+H61/I64</f>
        <v>7.1562046990393896E-2</v>
      </c>
      <c r="I64" s="259">
        <f>+G183</f>
        <v>23779.486775000001</v>
      </c>
      <c r="J64" s="160"/>
      <c r="M64" s="258" t="s">
        <v>284</v>
      </c>
      <c r="N64" s="260">
        <f>+N62*I69</f>
        <v>41410.938958295454</v>
      </c>
    </row>
    <row r="65" spans="2:14" s="75" customFormat="1" ht="14.25" customHeight="1">
      <c r="C65" s="258" t="s">
        <v>279</v>
      </c>
      <c r="D65" s="260">
        <f>+D63+D64</f>
        <v>9.8948370469903946</v>
      </c>
      <c r="E65" s="260">
        <f t="shared" ref="E65" si="51">+E63+E64</f>
        <v>9.8948370469903946</v>
      </c>
      <c r="F65" s="260">
        <f t="shared" ref="F65" si="52">+F63+F64</f>
        <v>10.545312046990395</v>
      </c>
      <c r="G65" s="260">
        <f t="shared" ref="G65" si="53">+G63+G64</f>
        <v>10.545312046990395</v>
      </c>
      <c r="H65" s="260">
        <f t="shared" ref="H65" si="54">+H63+H64</f>
        <v>11.206812046990395</v>
      </c>
      <c r="I65" s="160"/>
      <c r="J65" s="160"/>
      <c r="M65" s="258"/>
      <c r="N65" s="258"/>
    </row>
    <row r="66" spans="2:14" s="75" customFormat="1" ht="14.25" customHeight="1">
      <c r="C66" s="258" t="s">
        <v>13</v>
      </c>
      <c r="D66" s="261">
        <f>+D62*D61</f>
        <v>43393.573125000003</v>
      </c>
      <c r="E66" s="261">
        <f t="shared" ref="E66:H66" si="55">+E62*E61</f>
        <v>43393.573125000003</v>
      </c>
      <c r="F66" s="261">
        <f t="shared" si="55"/>
        <v>43393.573125000003</v>
      </c>
      <c r="G66" s="261">
        <f t="shared" si="55"/>
        <v>43393.573125000003</v>
      </c>
      <c r="H66" s="261">
        <f t="shared" si="55"/>
        <v>43393.573125000003</v>
      </c>
      <c r="I66" s="259">
        <f>+SUM(D66:H66)</f>
        <v>216967.86562500001</v>
      </c>
      <c r="J66" s="160"/>
      <c r="M66" s="258" t="s">
        <v>285</v>
      </c>
      <c r="N66" s="264">
        <f>+N64/D62</f>
        <v>1623.9583905213904</v>
      </c>
    </row>
    <row r="67" spans="2:14" s="75" customFormat="1" ht="14.25" customHeight="1">
      <c r="C67" s="258" t="s">
        <v>280</v>
      </c>
      <c r="D67" s="53">
        <f>+D66/I66</f>
        <v>0.2</v>
      </c>
      <c r="E67" s="53">
        <f>+E66/I66</f>
        <v>0.2</v>
      </c>
      <c r="F67" s="53">
        <f>+F66/I66</f>
        <v>0.2</v>
      </c>
      <c r="G67" s="53">
        <f>+G66/I66</f>
        <v>0.2</v>
      </c>
      <c r="H67" s="53">
        <f>+H66/I66</f>
        <v>0.2</v>
      </c>
      <c r="I67" s="259"/>
      <c r="J67" s="160"/>
      <c r="M67" s="258"/>
      <c r="N67" s="258"/>
    </row>
    <row r="68" spans="2:14" s="75" customFormat="1" ht="14.25" customHeight="1">
      <c r="C68" s="158" t="s">
        <v>281</v>
      </c>
      <c r="D68" s="53">
        <f>1-D65/D62</f>
        <v>0.61196717462782768</v>
      </c>
      <c r="E68" s="53">
        <f>1-E65/E62</f>
        <v>0.61196717462782768</v>
      </c>
      <c r="F68" s="53">
        <f t="shared" ref="F68:H68" si="56">1-F65/F62</f>
        <v>0.58645835109841582</v>
      </c>
      <c r="G68" s="53">
        <f t="shared" si="56"/>
        <v>0.58645835109841582</v>
      </c>
      <c r="H68" s="53">
        <f t="shared" si="56"/>
        <v>0.56051717462782769</v>
      </c>
      <c r="I68" s="262"/>
      <c r="J68" s="160"/>
      <c r="M68" s="258"/>
      <c r="N68" s="258"/>
    </row>
    <row r="69" spans="2:14" s="75" customFormat="1" ht="14.25" customHeight="1">
      <c r="B69" s="158" t="s">
        <v>283</v>
      </c>
      <c r="C69" s="258" t="s">
        <v>282</v>
      </c>
      <c r="D69" s="53">
        <f>+D67*D68</f>
        <v>0.12239343492556554</v>
      </c>
      <c r="E69" s="53">
        <f t="shared" ref="E69" si="57">+E67*E68</f>
        <v>0.12239343492556554</v>
      </c>
      <c r="F69" s="53">
        <f t="shared" ref="F69" si="58">+F67*F68</f>
        <v>0.11729167021968318</v>
      </c>
      <c r="G69" s="53">
        <f t="shared" ref="G69" si="59">+G67*G68</f>
        <v>0.11729167021968318</v>
      </c>
      <c r="H69" s="53">
        <f t="shared" ref="H69" si="60">+H67*H68</f>
        <v>0.11210343492556554</v>
      </c>
      <c r="I69" s="262">
        <f t="shared" ref="I69" si="61">+SUM(D69:H69)</f>
        <v>0.59147364521606294</v>
      </c>
      <c r="J69" s="160"/>
      <c r="M69" s="258"/>
      <c r="N69" s="258"/>
    </row>
    <row r="70" spans="2:14" s="75" customFormat="1" ht="14.25" customHeight="1">
      <c r="C70" s="160"/>
      <c r="D70" s="160"/>
      <c r="E70" s="160"/>
      <c r="F70" s="160"/>
      <c r="G70" s="160"/>
      <c r="H70" s="160"/>
      <c r="I70" s="160"/>
      <c r="J70" s="160"/>
      <c r="M70" s="258"/>
      <c r="N70" s="258"/>
    </row>
    <row r="71" spans="2:14" s="75" customFormat="1" ht="14.25" customHeight="1">
      <c r="C71" s="160"/>
      <c r="D71" s="160"/>
      <c r="E71" s="160"/>
      <c r="F71" s="160"/>
      <c r="G71" s="160"/>
      <c r="H71" s="160"/>
      <c r="I71" s="160"/>
      <c r="J71" s="160"/>
      <c r="M71" s="258"/>
      <c r="N71" s="258"/>
    </row>
    <row r="72" spans="2:14" s="75" customFormat="1" ht="20.25" customHeight="1">
      <c r="C72" s="348">
        <v>2019</v>
      </c>
      <c r="D72" s="348"/>
      <c r="E72" s="348"/>
      <c r="F72" s="348"/>
      <c r="G72" s="348"/>
      <c r="H72" s="348"/>
      <c r="I72" s="348"/>
      <c r="J72" s="160"/>
      <c r="M72" s="258"/>
      <c r="N72" s="258"/>
    </row>
    <row r="73" spans="2:14" s="75" customFormat="1" ht="14.25" customHeight="1">
      <c r="C73" s="148"/>
      <c r="D73" s="148" t="s">
        <v>5</v>
      </c>
      <c r="E73" s="148" t="s">
        <v>6</v>
      </c>
      <c r="F73" s="148" t="s">
        <v>7</v>
      </c>
      <c r="G73" s="148" t="s">
        <v>8</v>
      </c>
      <c r="H73" s="148" t="s">
        <v>9</v>
      </c>
      <c r="I73" s="148" t="s">
        <v>10</v>
      </c>
      <c r="J73" s="162"/>
      <c r="M73" s="258"/>
      <c r="N73" s="258"/>
    </row>
    <row r="74" spans="2:14" s="75" customFormat="1" ht="14.25" customHeight="1">
      <c r="C74" s="146" t="s">
        <v>2</v>
      </c>
      <c r="D74" s="98">
        <f>+D61*1.05</f>
        <v>1786.7941875000004</v>
      </c>
      <c r="E74" s="98">
        <f t="shared" ref="E74:H74" si="62">+E61*1.05</f>
        <v>1786.7941875000004</v>
      </c>
      <c r="F74" s="98">
        <f t="shared" si="62"/>
        <v>1786.7941875000004</v>
      </c>
      <c r="G74" s="98">
        <f t="shared" si="62"/>
        <v>1786.7941875000004</v>
      </c>
      <c r="H74" s="98">
        <f t="shared" si="62"/>
        <v>1786.7941875000004</v>
      </c>
      <c r="I74" s="263">
        <f>+SUM(D74:H74)</f>
        <v>8933.970937500002</v>
      </c>
      <c r="J74" s="162"/>
      <c r="M74" s="258"/>
      <c r="N74" s="258"/>
    </row>
    <row r="75" spans="2:14" s="75" customFormat="1" ht="14.25" customHeight="1">
      <c r="C75" s="146" t="s">
        <v>277</v>
      </c>
      <c r="D75" s="77">
        <f>+E164</f>
        <v>25.5</v>
      </c>
      <c r="E75" s="77">
        <f t="shared" ref="E75:H75" si="63">+F164</f>
        <v>25.5</v>
      </c>
      <c r="F75" s="77">
        <f t="shared" si="63"/>
        <v>25.5</v>
      </c>
      <c r="G75" s="77">
        <f t="shared" si="63"/>
        <v>25.5</v>
      </c>
      <c r="H75" s="77">
        <f t="shared" si="63"/>
        <v>25.5</v>
      </c>
      <c r="I75" s="77"/>
      <c r="J75" s="162"/>
      <c r="M75" s="258" t="s">
        <v>34</v>
      </c>
      <c r="N75" s="260">
        <f>+H182</f>
        <v>73513.818000000014</v>
      </c>
    </row>
    <row r="76" spans="2:14" s="75" customFormat="1" ht="14.25" customHeight="1">
      <c r="C76" s="158" t="s">
        <v>14</v>
      </c>
      <c r="D76" s="260">
        <f>+N164</f>
        <v>9.8232750000000006</v>
      </c>
      <c r="E76" s="260">
        <f t="shared" ref="E76:H76" si="64">+O164</f>
        <v>9.8232750000000006</v>
      </c>
      <c r="F76" s="260">
        <f t="shared" si="64"/>
        <v>10.473750000000001</v>
      </c>
      <c r="G76" s="260">
        <f t="shared" si="64"/>
        <v>10.473750000000001</v>
      </c>
      <c r="H76" s="260">
        <f t="shared" si="64"/>
        <v>11.135250000000001</v>
      </c>
      <c r="I76" s="160"/>
      <c r="J76" s="160"/>
      <c r="M76" s="258"/>
      <c r="N76" s="258"/>
    </row>
    <row r="77" spans="2:14" s="75" customFormat="1" ht="14.25" customHeight="1">
      <c r="C77" s="258" t="s">
        <v>278</v>
      </c>
      <c r="D77" s="261">
        <f>+D74/I77</f>
        <v>6.6887440767468942E-2</v>
      </c>
      <c r="E77" s="261">
        <f>+E74/I77</f>
        <v>6.6887440767468942E-2</v>
      </c>
      <c r="F77" s="261">
        <f>+F74/I77</f>
        <v>6.6887440767468942E-2</v>
      </c>
      <c r="G77" s="261">
        <f>+G74/I77</f>
        <v>6.6887440767468942E-2</v>
      </c>
      <c r="H77" s="261">
        <f>+H74/I77</f>
        <v>6.6887440767468942E-2</v>
      </c>
      <c r="I77" s="259">
        <f>+H183</f>
        <v>26713.448249750003</v>
      </c>
      <c r="J77" s="160"/>
      <c r="M77" s="258" t="s">
        <v>284</v>
      </c>
      <c r="N77" s="260">
        <f>+N75*I82</f>
        <v>43494.962304292341</v>
      </c>
    </row>
    <row r="78" spans="2:14" s="75" customFormat="1" ht="14.25" customHeight="1">
      <c r="C78" s="258" t="s">
        <v>279</v>
      </c>
      <c r="D78" s="260">
        <f>+D76+D77</f>
        <v>9.8901624407674689</v>
      </c>
      <c r="E78" s="260">
        <f t="shared" ref="E78" si="65">+E76+E77</f>
        <v>9.8901624407674689</v>
      </c>
      <c r="F78" s="260">
        <f t="shared" ref="F78" si="66">+F76+F77</f>
        <v>10.540637440767469</v>
      </c>
      <c r="G78" s="260">
        <f t="shared" ref="G78" si="67">+G76+G77</f>
        <v>10.540637440767469</v>
      </c>
      <c r="H78" s="260">
        <f t="shared" ref="H78" si="68">+H76+H77</f>
        <v>11.202137440767469</v>
      </c>
      <c r="I78" s="160"/>
      <c r="J78" s="160"/>
      <c r="M78" s="258"/>
      <c r="N78" s="258"/>
    </row>
    <row r="79" spans="2:14" s="75" customFormat="1" ht="14.25" customHeight="1">
      <c r="C79" s="258" t="s">
        <v>13</v>
      </c>
      <c r="D79" s="261">
        <f>+D75*D74</f>
        <v>45563.251781250008</v>
      </c>
      <c r="E79" s="261">
        <f t="shared" ref="E79:H79" si="69">+E75*E74</f>
        <v>45563.251781250008</v>
      </c>
      <c r="F79" s="261">
        <f t="shared" si="69"/>
        <v>45563.251781250008</v>
      </c>
      <c r="G79" s="261">
        <f t="shared" si="69"/>
        <v>45563.251781250008</v>
      </c>
      <c r="H79" s="261">
        <f t="shared" si="69"/>
        <v>45563.251781250008</v>
      </c>
      <c r="I79" s="259">
        <f>+SUM(D79:H79)</f>
        <v>227816.25890625003</v>
      </c>
      <c r="J79" s="160"/>
      <c r="M79" s="258" t="s">
        <v>285</v>
      </c>
      <c r="N79" s="264">
        <f>+N77/D75</f>
        <v>1705.6847962467584</v>
      </c>
    </row>
    <row r="80" spans="2:14" s="75" customFormat="1" ht="14.25" customHeight="1">
      <c r="C80" s="258" t="s">
        <v>280</v>
      </c>
      <c r="D80" s="53">
        <f>+D79/I79</f>
        <v>0.2</v>
      </c>
      <c r="E80" s="53">
        <f>+E79/I79</f>
        <v>0.2</v>
      </c>
      <c r="F80" s="53">
        <f>+F79/I79</f>
        <v>0.2</v>
      </c>
      <c r="G80" s="53">
        <f>+G79/I79</f>
        <v>0.2</v>
      </c>
      <c r="H80" s="53">
        <f>+H79/I79</f>
        <v>0.2</v>
      </c>
      <c r="I80" s="259"/>
      <c r="J80" s="160"/>
      <c r="M80" s="258"/>
      <c r="N80" s="258"/>
    </row>
    <row r="81" spans="2:14" s="75" customFormat="1" ht="14.25" customHeight="1">
      <c r="C81" s="158" t="s">
        <v>281</v>
      </c>
      <c r="D81" s="53">
        <f>1-D78/D75</f>
        <v>0.61215049251892273</v>
      </c>
      <c r="E81" s="53">
        <f>1-E78/E75</f>
        <v>0.61215049251892273</v>
      </c>
      <c r="F81" s="53">
        <f t="shared" ref="F81:H81" si="70">1-F78/F75</f>
        <v>0.58664166898951109</v>
      </c>
      <c r="G81" s="53">
        <f t="shared" si="70"/>
        <v>0.58664166898951109</v>
      </c>
      <c r="H81" s="53">
        <f t="shared" si="70"/>
        <v>0.56070049251892273</v>
      </c>
      <c r="I81" s="262"/>
      <c r="J81" s="160"/>
      <c r="M81" s="258"/>
      <c r="N81" s="258"/>
    </row>
    <row r="82" spans="2:14" s="75" customFormat="1" ht="14.25" customHeight="1">
      <c r="B82" s="158" t="s">
        <v>283</v>
      </c>
      <c r="C82" s="258" t="s">
        <v>282</v>
      </c>
      <c r="D82" s="53">
        <f>+D80*D81</f>
        <v>0.12243009850378456</v>
      </c>
      <c r="E82" s="53">
        <f t="shared" ref="E82" si="71">+E80*E81</f>
        <v>0.12243009850378456</v>
      </c>
      <c r="F82" s="53">
        <f t="shared" ref="F82" si="72">+F80*F81</f>
        <v>0.11732833379790222</v>
      </c>
      <c r="G82" s="53">
        <f t="shared" ref="G82" si="73">+G80*G81</f>
        <v>0.11732833379790222</v>
      </c>
      <c r="H82" s="53">
        <f t="shared" ref="H82" si="74">+H80*H81</f>
        <v>0.11214009850378455</v>
      </c>
      <c r="I82" s="262">
        <f t="shared" ref="I82" si="75">+SUM(D82:H82)</f>
        <v>0.5916569631071581</v>
      </c>
      <c r="J82" s="160"/>
      <c r="M82" s="258"/>
      <c r="N82" s="258"/>
    </row>
    <row r="83" spans="2:14" s="75" customFormat="1" ht="14.25" customHeight="1">
      <c r="C83" s="160"/>
      <c r="D83" s="160"/>
      <c r="E83" s="160"/>
      <c r="F83" s="160"/>
      <c r="G83" s="160"/>
      <c r="H83" s="160"/>
      <c r="I83" s="160"/>
      <c r="J83" s="160"/>
      <c r="M83" s="258"/>
      <c r="N83" s="258"/>
    </row>
    <row r="84" spans="2:14" s="75" customFormat="1" ht="14.25" customHeight="1">
      <c r="C84" s="160"/>
      <c r="D84" s="160"/>
      <c r="E84" s="160"/>
      <c r="F84" s="160"/>
      <c r="G84" s="160"/>
      <c r="H84" s="160"/>
      <c r="I84" s="160"/>
      <c r="J84" s="160"/>
      <c r="M84" s="258"/>
      <c r="N84" s="258"/>
    </row>
    <row r="85" spans="2:14" s="75" customFormat="1" ht="27" customHeight="1">
      <c r="C85" s="348">
        <v>2020</v>
      </c>
      <c r="D85" s="348"/>
      <c r="E85" s="348"/>
      <c r="F85" s="348"/>
      <c r="G85" s="348"/>
      <c r="H85" s="348"/>
      <c r="I85" s="348"/>
      <c r="J85" s="160"/>
      <c r="M85" s="258"/>
      <c r="N85" s="258"/>
    </row>
    <row r="86" spans="2:14" s="75" customFormat="1" ht="14.25" customHeight="1">
      <c r="C86" s="148"/>
      <c r="D86" s="148" t="s">
        <v>5</v>
      </c>
      <c r="E86" s="148" t="s">
        <v>6</v>
      </c>
      <c r="F86" s="148" t="s">
        <v>7</v>
      </c>
      <c r="G86" s="148" t="s">
        <v>8</v>
      </c>
      <c r="H86" s="148" t="s">
        <v>9</v>
      </c>
      <c r="I86" s="148" t="s">
        <v>10</v>
      </c>
      <c r="J86" s="162"/>
      <c r="M86" s="258"/>
      <c r="N86" s="258"/>
    </row>
    <row r="87" spans="2:14" s="75" customFormat="1" ht="14.25" customHeight="1">
      <c r="C87" s="146" t="s">
        <v>2</v>
      </c>
      <c r="D87" s="98">
        <f>+D74*1.05</f>
        <v>1876.1338968750003</v>
      </c>
      <c r="E87" s="98">
        <f t="shared" ref="E87:H87" si="76">+E74*1.05</f>
        <v>1876.1338968750003</v>
      </c>
      <c r="F87" s="98">
        <f t="shared" si="76"/>
        <v>1876.1338968750003</v>
      </c>
      <c r="G87" s="98">
        <f t="shared" si="76"/>
        <v>1876.1338968750003</v>
      </c>
      <c r="H87" s="98">
        <f t="shared" si="76"/>
        <v>1876.1338968750003</v>
      </c>
      <c r="I87" s="263">
        <f>+SUM(D87:H87)</f>
        <v>9380.669484375001</v>
      </c>
      <c r="J87" s="162"/>
      <c r="M87" s="258"/>
      <c r="N87" s="258"/>
    </row>
    <row r="88" spans="2:14" s="75" customFormat="1" ht="14.25" customHeight="1">
      <c r="C88" s="146" t="s">
        <v>277</v>
      </c>
      <c r="D88" s="77">
        <f>+E170</f>
        <v>27.5</v>
      </c>
      <c r="E88" s="77">
        <f t="shared" ref="E88:H88" si="77">+F170</f>
        <v>27.5</v>
      </c>
      <c r="F88" s="77">
        <f t="shared" si="77"/>
        <v>27.5</v>
      </c>
      <c r="G88" s="77">
        <f t="shared" si="77"/>
        <v>27.5</v>
      </c>
      <c r="H88" s="77">
        <f t="shared" si="77"/>
        <v>27.5</v>
      </c>
      <c r="I88" s="77"/>
      <c r="J88" s="162"/>
      <c r="M88" s="258" t="s">
        <v>34</v>
      </c>
      <c r="N88" s="260">
        <f>+I182</f>
        <v>77189.508900000015</v>
      </c>
    </row>
    <row r="89" spans="2:14" s="75" customFormat="1" ht="14.25" customHeight="1">
      <c r="C89" s="158" t="s">
        <v>14</v>
      </c>
      <c r="D89" s="260">
        <f>+N170</f>
        <v>10.314438750000001</v>
      </c>
      <c r="E89" s="260">
        <f t="shared" ref="E89:H89" si="78">+O170</f>
        <v>10.314438750000001</v>
      </c>
      <c r="F89" s="260">
        <f t="shared" si="78"/>
        <v>10.997437500000002</v>
      </c>
      <c r="G89" s="260">
        <f t="shared" si="78"/>
        <v>10.997437500000002</v>
      </c>
      <c r="H89" s="260">
        <f t="shared" si="78"/>
        <v>11.692012500000002</v>
      </c>
      <c r="I89" s="160"/>
      <c r="J89" s="160"/>
      <c r="M89" s="258"/>
      <c r="N89" s="258"/>
    </row>
    <row r="90" spans="2:14" s="75" customFormat="1" ht="14.25" customHeight="1">
      <c r="C90" s="258" t="s">
        <v>278</v>
      </c>
      <c r="D90" s="261">
        <f>+D87/I90</f>
        <v>5.4223927143384372E-2</v>
      </c>
      <c r="E90" s="261">
        <f>+E87/I90</f>
        <v>5.4223927143384372E-2</v>
      </c>
      <c r="F90" s="261">
        <f>+F87/I90</f>
        <v>5.4223927143384372E-2</v>
      </c>
      <c r="G90" s="261">
        <f>+G87/I90</f>
        <v>5.4223927143384372E-2</v>
      </c>
      <c r="H90" s="261">
        <f>+H87/I90</f>
        <v>5.4223927143384372E-2</v>
      </c>
      <c r="I90" s="259">
        <f>+I183</f>
        <v>34599.742138077498</v>
      </c>
      <c r="J90" s="160"/>
      <c r="M90" s="258" t="s">
        <v>284</v>
      </c>
      <c r="N90" s="260">
        <f>+N88*I95</f>
        <v>46545.619318822231</v>
      </c>
    </row>
    <row r="91" spans="2:14" s="75" customFormat="1" ht="14.25" customHeight="1">
      <c r="C91" s="258" t="s">
        <v>279</v>
      </c>
      <c r="D91" s="260">
        <f>+D89+D90</f>
        <v>10.368662677143385</v>
      </c>
      <c r="E91" s="260">
        <f t="shared" ref="E91" si="79">+E89+E90</f>
        <v>10.368662677143385</v>
      </c>
      <c r="F91" s="260">
        <f t="shared" ref="F91" si="80">+F89+F90</f>
        <v>11.051661427143387</v>
      </c>
      <c r="G91" s="260">
        <f t="shared" ref="G91" si="81">+G89+G90</f>
        <v>11.051661427143387</v>
      </c>
      <c r="H91" s="260">
        <f t="shared" ref="H91" si="82">+H89+H90</f>
        <v>11.746236427143387</v>
      </c>
      <c r="I91" s="160"/>
      <c r="J91" s="160"/>
      <c r="M91" s="258"/>
      <c r="N91" s="258"/>
    </row>
    <row r="92" spans="2:14" s="75" customFormat="1" ht="14.25" customHeight="1">
      <c r="C92" s="258" t="s">
        <v>13</v>
      </c>
      <c r="D92" s="261">
        <f>+D88*D87</f>
        <v>51593.682164062513</v>
      </c>
      <c r="E92" s="261">
        <f t="shared" ref="E92:H92" si="83">+E88*E87</f>
        <v>51593.682164062513</v>
      </c>
      <c r="F92" s="261">
        <f t="shared" si="83"/>
        <v>51593.682164062513</v>
      </c>
      <c r="G92" s="261">
        <f t="shared" si="83"/>
        <v>51593.682164062513</v>
      </c>
      <c r="H92" s="261">
        <f t="shared" si="83"/>
        <v>51593.682164062513</v>
      </c>
      <c r="I92" s="259">
        <f>+SUM(D92:H92)</f>
        <v>257968.41082031257</v>
      </c>
      <c r="J92" s="160"/>
      <c r="M92" s="258" t="s">
        <v>285</v>
      </c>
      <c r="N92" s="264">
        <f>+N90/D88</f>
        <v>1692.5679752298993</v>
      </c>
    </row>
    <row r="93" spans="2:14" s="75" customFormat="1" ht="14.25" customHeight="1">
      <c r="C93" s="258" t="s">
        <v>280</v>
      </c>
      <c r="D93" s="53">
        <f>+D92/I92</f>
        <v>0.2</v>
      </c>
      <c r="E93" s="53">
        <f>+E92/I92</f>
        <v>0.2</v>
      </c>
      <c r="F93" s="53">
        <f>+F92/I92</f>
        <v>0.2</v>
      </c>
      <c r="G93" s="53">
        <f>+G92/I92</f>
        <v>0.2</v>
      </c>
      <c r="H93" s="53">
        <f>+H92/I92</f>
        <v>0.2</v>
      </c>
      <c r="I93" s="259"/>
      <c r="J93" s="160"/>
      <c r="M93" s="258"/>
      <c r="N93" s="258"/>
    </row>
    <row r="94" spans="2:14" s="75" customFormat="1" ht="14.25" customHeight="1">
      <c r="C94" s="158" t="s">
        <v>281</v>
      </c>
      <c r="D94" s="53">
        <f>1-D91/D88</f>
        <v>0.62295772083114964</v>
      </c>
      <c r="E94" s="53">
        <f>1-E91/E88</f>
        <v>0.62295772083114964</v>
      </c>
      <c r="F94" s="53">
        <f t="shared" ref="F94:H94" si="84">1-F91/F88</f>
        <v>0.59812140264933134</v>
      </c>
      <c r="G94" s="53">
        <f t="shared" si="84"/>
        <v>0.59812140264933134</v>
      </c>
      <c r="H94" s="53">
        <f t="shared" si="84"/>
        <v>0.57286412992205871</v>
      </c>
      <c r="I94" s="262"/>
      <c r="J94" s="160"/>
      <c r="M94" s="258"/>
      <c r="N94" s="258"/>
    </row>
    <row r="95" spans="2:14" s="75" customFormat="1" ht="14.25" customHeight="1">
      <c r="B95" s="158" t="s">
        <v>283</v>
      </c>
      <c r="C95" s="258" t="s">
        <v>282</v>
      </c>
      <c r="D95" s="53">
        <f>+D93*D94</f>
        <v>0.12459154416622993</v>
      </c>
      <c r="E95" s="53">
        <f t="shared" ref="E95" si="85">+E93*E94</f>
        <v>0.12459154416622993</v>
      </c>
      <c r="F95" s="53">
        <f t="shared" ref="F95" si="86">+F93*F94</f>
        <v>0.11962428052986628</v>
      </c>
      <c r="G95" s="53">
        <f t="shared" ref="G95" si="87">+G93*G94</f>
        <v>0.11962428052986628</v>
      </c>
      <c r="H95" s="53">
        <f t="shared" ref="H95" si="88">+H93*H94</f>
        <v>0.11457282598441175</v>
      </c>
      <c r="I95" s="262">
        <f t="shared" ref="I95" si="89">+SUM(D95:H95)</f>
        <v>0.60300447537660418</v>
      </c>
      <c r="J95" s="160"/>
      <c r="M95" s="258"/>
      <c r="N95" s="258"/>
    </row>
    <row r="96" spans="2:14" s="75" customFormat="1" ht="14.25" customHeight="1">
      <c r="C96" s="160"/>
      <c r="D96" s="160"/>
      <c r="E96" s="160"/>
      <c r="F96" s="160"/>
      <c r="G96" s="160"/>
      <c r="H96" s="160"/>
      <c r="I96" s="160"/>
      <c r="J96" s="160"/>
      <c r="M96" s="258"/>
      <c r="N96" s="258"/>
    </row>
    <row r="97" spans="2:14" s="75" customFormat="1" ht="14.25" customHeight="1">
      <c r="C97" s="160"/>
      <c r="D97" s="160"/>
      <c r="E97" s="160"/>
      <c r="F97" s="160"/>
      <c r="G97" s="160"/>
      <c r="H97" s="160"/>
      <c r="I97" s="160"/>
      <c r="J97" s="160"/>
      <c r="M97" s="258"/>
      <c r="N97" s="258"/>
    </row>
    <row r="98" spans="2:14" s="75" customFormat="1" ht="24.75" customHeight="1">
      <c r="C98" s="348">
        <v>2021</v>
      </c>
      <c r="D98" s="348"/>
      <c r="E98" s="348"/>
      <c r="F98" s="348"/>
      <c r="G98" s="348"/>
      <c r="H98" s="348"/>
      <c r="I98" s="348"/>
      <c r="J98" s="160"/>
      <c r="M98" s="258"/>
      <c r="N98" s="258"/>
    </row>
    <row r="99" spans="2:14" s="75" customFormat="1" ht="14.25" customHeight="1">
      <c r="C99" s="148"/>
      <c r="D99" s="148" t="s">
        <v>5</v>
      </c>
      <c r="E99" s="148" t="s">
        <v>6</v>
      </c>
      <c r="F99" s="148" t="s">
        <v>7</v>
      </c>
      <c r="G99" s="148" t="s">
        <v>8</v>
      </c>
      <c r="H99" s="148" t="s">
        <v>9</v>
      </c>
      <c r="I99" s="148" t="s">
        <v>10</v>
      </c>
      <c r="J99" s="162"/>
      <c r="M99" s="258"/>
      <c r="N99" s="258"/>
    </row>
    <row r="100" spans="2:14" s="75" customFormat="1" ht="14.25" customHeight="1">
      <c r="C100" s="146" t="s">
        <v>2</v>
      </c>
      <c r="D100" s="98">
        <f>+D87*1.05</f>
        <v>1969.9405917187505</v>
      </c>
      <c r="E100" s="98">
        <f t="shared" ref="E100:H100" si="90">+E87*1.05</f>
        <v>1969.9405917187505</v>
      </c>
      <c r="F100" s="98">
        <f t="shared" si="90"/>
        <v>1969.9405917187505</v>
      </c>
      <c r="G100" s="98">
        <f t="shared" si="90"/>
        <v>1969.9405917187505</v>
      </c>
      <c r="H100" s="98">
        <f t="shared" si="90"/>
        <v>1969.9405917187505</v>
      </c>
      <c r="I100" s="263">
        <f>+SUM(D100:H100)</f>
        <v>9849.7029585937526</v>
      </c>
      <c r="J100" s="162"/>
      <c r="M100" s="258"/>
      <c r="N100" s="258"/>
    </row>
    <row r="101" spans="2:14" s="75" customFormat="1" ht="14.25" customHeight="1">
      <c r="C101" s="146" t="s">
        <v>277</v>
      </c>
      <c r="D101" s="77">
        <f>+E176</f>
        <v>27.5</v>
      </c>
      <c r="E101" s="77">
        <f t="shared" ref="E101:H101" si="91">+F176</f>
        <v>27.5</v>
      </c>
      <c r="F101" s="77">
        <f t="shared" si="91"/>
        <v>27.5</v>
      </c>
      <c r="G101" s="77">
        <f t="shared" si="91"/>
        <v>27.5</v>
      </c>
      <c r="H101" s="77">
        <f t="shared" si="91"/>
        <v>27.5</v>
      </c>
      <c r="I101" s="77"/>
      <c r="J101" s="162"/>
      <c r="M101" s="258" t="s">
        <v>34</v>
      </c>
      <c r="N101" s="260">
        <f>+J182</f>
        <v>81048.984345000019</v>
      </c>
    </row>
    <row r="102" spans="2:14" s="75" customFormat="1" ht="14.25" customHeight="1">
      <c r="C102" s="158" t="s">
        <v>14</v>
      </c>
      <c r="D102" s="260">
        <f>+N176</f>
        <v>10.314438750000001</v>
      </c>
      <c r="E102" s="260">
        <f t="shared" ref="E102:H102" si="92">+O176</f>
        <v>10.314438750000001</v>
      </c>
      <c r="F102" s="260">
        <f t="shared" si="92"/>
        <v>10.997437500000002</v>
      </c>
      <c r="G102" s="260">
        <f t="shared" si="92"/>
        <v>10.997437500000002</v>
      </c>
      <c r="H102" s="260">
        <f t="shared" si="92"/>
        <v>11.692012500000002</v>
      </c>
      <c r="I102" s="160"/>
      <c r="J102" s="160"/>
      <c r="M102" s="258"/>
      <c r="N102" s="258"/>
    </row>
    <row r="103" spans="2:14" s="75" customFormat="1" ht="14.25" customHeight="1">
      <c r="C103" s="258" t="s">
        <v>278</v>
      </c>
      <c r="D103" s="261">
        <f>+D100/I103</f>
        <v>4.4884113563054863E-2</v>
      </c>
      <c r="E103" s="261">
        <f>+E100/I103</f>
        <v>4.4884113563054863E-2</v>
      </c>
      <c r="F103" s="261">
        <f>+F100/I103</f>
        <v>4.4884113563054863E-2</v>
      </c>
      <c r="G103" s="261">
        <f>+G100/I103</f>
        <v>4.4884113563054863E-2</v>
      </c>
      <c r="H103" s="261">
        <f>+H100/I103</f>
        <v>4.4884113563054863E-2</v>
      </c>
      <c r="I103" s="259">
        <f>+J183</f>
        <v>43889.484170190975</v>
      </c>
      <c r="J103" s="160"/>
      <c r="M103" s="258" t="s">
        <v>284</v>
      </c>
      <c r="N103" s="260">
        <f>+N101*I108</f>
        <v>48900.426917659963</v>
      </c>
    </row>
    <row r="104" spans="2:14" s="75" customFormat="1" ht="14.25" customHeight="1">
      <c r="C104" s="258" t="s">
        <v>279</v>
      </c>
      <c r="D104" s="260">
        <f>+D102+D103</f>
        <v>10.359322863563056</v>
      </c>
      <c r="E104" s="260">
        <f t="shared" ref="E104" si="93">+E102+E103</f>
        <v>10.359322863563056</v>
      </c>
      <c r="F104" s="260">
        <f t="shared" ref="F104" si="94">+F102+F103</f>
        <v>11.042321613563058</v>
      </c>
      <c r="G104" s="260">
        <f t="shared" ref="G104" si="95">+G102+G103</f>
        <v>11.042321613563058</v>
      </c>
      <c r="H104" s="260">
        <f t="shared" ref="H104" si="96">+H102+H103</f>
        <v>11.736896613563058</v>
      </c>
      <c r="I104" s="160"/>
      <c r="J104" s="160"/>
      <c r="M104" s="258"/>
      <c r="N104" s="258"/>
    </row>
    <row r="105" spans="2:14" s="75" customFormat="1" ht="14.25" customHeight="1">
      <c r="C105" s="258" t="s">
        <v>13</v>
      </c>
      <c r="D105" s="261">
        <f>+D101*D100</f>
        <v>54173.366272265637</v>
      </c>
      <c r="E105" s="261">
        <f t="shared" ref="E105:H105" si="97">+E101*E100</f>
        <v>54173.366272265637</v>
      </c>
      <c r="F105" s="261">
        <f t="shared" si="97"/>
        <v>54173.366272265637</v>
      </c>
      <c r="G105" s="261">
        <f t="shared" si="97"/>
        <v>54173.366272265637</v>
      </c>
      <c r="H105" s="261">
        <f t="shared" si="97"/>
        <v>54173.366272265637</v>
      </c>
      <c r="I105" s="259">
        <f>+SUM(D105:H105)</f>
        <v>270866.83136132819</v>
      </c>
      <c r="J105" s="160"/>
      <c r="M105" s="258" t="s">
        <v>285</v>
      </c>
      <c r="N105" s="264">
        <f>+N103/D101</f>
        <v>1778.1973424603623</v>
      </c>
    </row>
    <row r="106" spans="2:14" s="75" customFormat="1" ht="14.25" customHeight="1">
      <c r="C106" s="258" t="s">
        <v>280</v>
      </c>
      <c r="D106" s="53">
        <f>+D105/I105</f>
        <v>0.19999999999999998</v>
      </c>
      <c r="E106" s="53">
        <f>+E105/I105</f>
        <v>0.19999999999999998</v>
      </c>
      <c r="F106" s="53">
        <f>+F105/I105</f>
        <v>0.19999999999999998</v>
      </c>
      <c r="G106" s="53">
        <f>+G105/I105</f>
        <v>0.19999999999999998</v>
      </c>
      <c r="H106" s="53">
        <f>+H105/I105</f>
        <v>0.19999999999999998</v>
      </c>
      <c r="I106" s="259"/>
      <c r="J106" s="160"/>
      <c r="M106" s="258"/>
      <c r="N106" s="258"/>
    </row>
    <row r="107" spans="2:14" s="75" customFormat="1" ht="14.25" customHeight="1">
      <c r="C107" s="158" t="s">
        <v>281</v>
      </c>
      <c r="D107" s="53">
        <f>1-D104/D101</f>
        <v>0.62329735041588885</v>
      </c>
      <c r="E107" s="53">
        <f>1-E104/E101</f>
        <v>0.62329735041588885</v>
      </c>
      <c r="F107" s="53">
        <f t="shared" ref="F107:H107" si="98">1-F104/F101</f>
        <v>0.59846103223407066</v>
      </c>
      <c r="G107" s="53">
        <f t="shared" si="98"/>
        <v>0.59846103223407066</v>
      </c>
      <c r="H107" s="53">
        <f t="shared" si="98"/>
        <v>0.57320375950679792</v>
      </c>
      <c r="I107" s="262"/>
      <c r="J107" s="160"/>
      <c r="M107" s="258"/>
      <c r="N107" s="258"/>
    </row>
    <row r="108" spans="2:14" s="75" customFormat="1" ht="14.25" customHeight="1">
      <c r="B108" s="158" t="s">
        <v>283</v>
      </c>
      <c r="C108" s="258" t="s">
        <v>282</v>
      </c>
      <c r="D108" s="53">
        <f>+D106*D107</f>
        <v>0.12465947008317776</v>
      </c>
      <c r="E108" s="53">
        <f t="shared" ref="E108" si="99">+E106*E107</f>
        <v>0.12465947008317776</v>
      </c>
      <c r="F108" s="53">
        <f t="shared" ref="F108" si="100">+F106*F107</f>
        <v>0.11969220644681412</v>
      </c>
      <c r="G108" s="53">
        <f t="shared" ref="G108" si="101">+G106*G107</f>
        <v>0.11969220644681412</v>
      </c>
      <c r="H108" s="53">
        <f t="shared" ref="H108" si="102">+H106*H107</f>
        <v>0.11464075190135957</v>
      </c>
      <c r="I108" s="262">
        <f t="shared" ref="I108" si="103">+SUM(D108:H108)</f>
        <v>0.60334410496134327</v>
      </c>
      <c r="J108" s="160"/>
      <c r="M108" s="160"/>
      <c r="N108" s="160"/>
    </row>
    <row r="109" spans="2:14" s="75" customFormat="1" ht="14.25" customHeight="1">
      <c r="C109" s="160"/>
      <c r="D109" s="160"/>
      <c r="E109" s="160"/>
      <c r="F109" s="160"/>
      <c r="G109" s="160"/>
      <c r="H109" s="160"/>
      <c r="I109" s="160"/>
      <c r="J109" s="160"/>
      <c r="K109" s="160"/>
      <c r="L109" s="160"/>
    </row>
    <row r="110" spans="2:14" s="75" customFormat="1" ht="18" customHeight="1">
      <c r="C110" s="160"/>
      <c r="D110" s="160"/>
      <c r="E110" s="160"/>
      <c r="F110" s="160"/>
      <c r="G110" s="160"/>
      <c r="H110" s="160"/>
      <c r="I110" s="160"/>
      <c r="J110" s="160"/>
      <c r="K110" s="160"/>
      <c r="L110" s="160"/>
    </row>
    <row r="111" spans="2:14" s="75" customFormat="1" ht="18" customHeight="1">
      <c r="C111" s="160"/>
      <c r="D111" s="160"/>
      <c r="E111" s="160"/>
      <c r="F111" s="160"/>
      <c r="G111" s="160"/>
      <c r="H111" s="160"/>
      <c r="I111" s="160"/>
      <c r="J111" s="160"/>
      <c r="K111" s="160"/>
      <c r="L111" s="160"/>
    </row>
    <row r="112" spans="2:14" s="75" customFormat="1" ht="18" customHeight="1">
      <c r="C112" s="160"/>
      <c r="D112" s="160"/>
      <c r="E112" s="160"/>
      <c r="F112" s="160"/>
      <c r="G112" s="160"/>
      <c r="H112" s="160"/>
      <c r="I112" s="160"/>
      <c r="J112" s="160"/>
      <c r="K112" s="160"/>
      <c r="L112" s="160"/>
    </row>
    <row r="113" spans="3:12" s="75" customFormat="1" ht="18" customHeight="1">
      <c r="C113" s="160"/>
      <c r="D113" s="160"/>
      <c r="E113" s="160"/>
      <c r="F113" s="160"/>
      <c r="G113" s="160"/>
      <c r="H113" s="160"/>
      <c r="I113" s="160"/>
      <c r="J113" s="160"/>
      <c r="K113" s="160"/>
      <c r="L113" s="160"/>
    </row>
    <row r="114" spans="3:12" s="75" customFormat="1" ht="16.5" customHeight="1">
      <c r="C114" s="160"/>
      <c r="D114" s="160"/>
      <c r="E114" s="160"/>
      <c r="F114" s="160"/>
      <c r="G114" s="160"/>
      <c r="H114" s="160"/>
      <c r="I114" s="160"/>
      <c r="J114" s="160"/>
      <c r="K114" s="160"/>
      <c r="L114" s="160"/>
    </row>
    <row r="115" spans="3:12" s="75" customFormat="1" ht="16.5" customHeight="1">
      <c r="C115" s="160"/>
      <c r="D115" s="160"/>
      <c r="E115" s="160"/>
      <c r="F115" s="160"/>
      <c r="G115" s="160"/>
      <c r="H115" s="160"/>
      <c r="I115" s="160"/>
      <c r="J115" s="160"/>
      <c r="K115" s="160"/>
      <c r="L115" s="160"/>
    </row>
    <row r="116" spans="3:12" s="75" customFormat="1" ht="16.5" customHeight="1">
      <c r="C116" s="160"/>
      <c r="D116" s="160"/>
      <c r="E116" s="160"/>
      <c r="F116" s="160"/>
      <c r="G116" s="160"/>
      <c r="H116" s="160"/>
      <c r="I116" s="160"/>
      <c r="J116" s="160"/>
      <c r="K116" s="160"/>
      <c r="L116" s="160"/>
    </row>
    <row r="117" spans="3:12" s="75" customFormat="1" ht="16.5" customHeight="1">
      <c r="C117" s="160"/>
      <c r="D117" s="160"/>
      <c r="E117" s="160"/>
      <c r="F117" s="160"/>
      <c r="G117" s="160"/>
      <c r="H117" s="160"/>
      <c r="I117" s="160"/>
      <c r="J117" s="160"/>
      <c r="K117" s="160"/>
      <c r="L117" s="160"/>
    </row>
    <row r="118" spans="3:12" s="75" customFormat="1" ht="16.5" customHeight="1">
      <c r="C118" s="160"/>
      <c r="D118" s="160"/>
      <c r="E118" s="160"/>
      <c r="F118" s="160"/>
      <c r="G118" s="160"/>
      <c r="H118" s="160"/>
      <c r="I118" s="160"/>
      <c r="J118" s="160"/>
      <c r="K118" s="160"/>
      <c r="L118" s="160"/>
    </row>
    <row r="119" spans="3:12" s="75" customFormat="1" ht="16.5" customHeight="1">
      <c r="C119" s="160"/>
      <c r="D119" s="160"/>
      <c r="E119" s="160"/>
      <c r="F119" s="160"/>
      <c r="G119" s="160"/>
      <c r="H119" s="160"/>
      <c r="I119" s="160"/>
      <c r="J119" s="160"/>
      <c r="K119" s="160"/>
      <c r="L119" s="160"/>
    </row>
    <row r="120" spans="3:12" s="75" customFormat="1" ht="16.5" customHeight="1">
      <c r="C120" s="160"/>
      <c r="D120" s="160"/>
      <c r="E120" s="160"/>
      <c r="F120" s="160"/>
      <c r="G120" s="160"/>
      <c r="H120" s="160"/>
      <c r="I120" s="160"/>
      <c r="J120" s="160"/>
      <c r="K120" s="160"/>
      <c r="L120" s="160"/>
    </row>
    <row r="121" spans="3:12" s="75" customFormat="1" ht="16.5" customHeight="1">
      <c r="C121" s="160"/>
      <c r="D121" s="160"/>
      <c r="E121" s="160"/>
      <c r="F121" s="160"/>
      <c r="G121" s="160"/>
      <c r="H121" s="160"/>
      <c r="I121" s="160"/>
      <c r="J121" s="160"/>
      <c r="K121" s="160"/>
      <c r="L121" s="160"/>
    </row>
    <row r="122" spans="3:12" s="75" customFormat="1" ht="17.25" customHeight="1">
      <c r="C122" s="160"/>
      <c r="D122" s="160"/>
      <c r="E122" s="160"/>
      <c r="F122" s="160"/>
      <c r="G122" s="160"/>
      <c r="H122" s="160"/>
      <c r="I122" s="160"/>
      <c r="J122" s="160"/>
      <c r="K122" s="160"/>
      <c r="L122" s="160"/>
    </row>
    <row r="123" spans="3:12" s="75" customFormat="1" ht="17.25" customHeight="1">
      <c r="C123" s="160"/>
      <c r="D123" s="160"/>
      <c r="E123" s="160"/>
      <c r="F123" s="160"/>
      <c r="G123" s="160"/>
      <c r="H123" s="160"/>
      <c r="I123" s="160"/>
      <c r="J123" s="160"/>
      <c r="K123" s="160"/>
      <c r="L123" s="160"/>
    </row>
    <row r="124" spans="3:12" s="75" customFormat="1" ht="17.25" customHeight="1">
      <c r="C124" s="160"/>
      <c r="D124" s="160"/>
      <c r="E124" s="160"/>
      <c r="F124" s="160"/>
      <c r="G124" s="160"/>
      <c r="H124" s="160"/>
      <c r="I124" s="160"/>
      <c r="J124" s="160"/>
      <c r="K124" s="160"/>
      <c r="L124" s="160"/>
    </row>
    <row r="125" spans="3:12" s="75" customFormat="1" ht="17.25" customHeight="1">
      <c r="C125" s="160"/>
      <c r="D125" s="160"/>
      <c r="E125" s="160"/>
      <c r="F125" s="160"/>
      <c r="G125" s="160"/>
      <c r="H125" s="160"/>
      <c r="I125" s="160"/>
      <c r="J125" s="160"/>
      <c r="K125" s="160"/>
      <c r="L125" s="160"/>
    </row>
    <row r="126" spans="3:12" s="75" customFormat="1" ht="15.75" customHeight="1">
      <c r="C126" s="160"/>
      <c r="D126" s="160"/>
      <c r="E126" s="160"/>
      <c r="F126" s="160"/>
      <c r="G126" s="160"/>
      <c r="H126" s="160"/>
      <c r="I126" s="160"/>
      <c r="J126" s="160"/>
      <c r="K126" s="160"/>
      <c r="L126" s="160"/>
    </row>
    <row r="127" spans="3:12" s="75" customFormat="1" ht="15.75" customHeight="1">
      <c r="C127" s="160"/>
      <c r="D127" s="160"/>
      <c r="E127" s="160"/>
      <c r="F127" s="160"/>
      <c r="G127" s="160"/>
      <c r="H127" s="160"/>
      <c r="I127" s="160"/>
      <c r="J127" s="160"/>
      <c r="K127" s="160"/>
      <c r="L127" s="160"/>
    </row>
    <row r="129" spans="3:18" s="75" customFormat="1"/>
    <row r="130" spans="3:18" ht="15.75" thickBot="1"/>
    <row r="131" spans="3:18">
      <c r="C131" s="300" t="s">
        <v>0</v>
      </c>
      <c r="D131" s="301"/>
      <c r="E131" s="301"/>
      <c r="F131" s="301"/>
      <c r="G131" s="301"/>
      <c r="H131" s="301"/>
      <c r="I131" s="301"/>
      <c r="J131" s="92"/>
      <c r="K131" s="123"/>
      <c r="L131" s="300" t="s">
        <v>12</v>
      </c>
      <c r="M131" s="301"/>
      <c r="N131" s="301"/>
      <c r="O131" s="301"/>
      <c r="P131" s="301"/>
      <c r="Q131" s="301"/>
      <c r="R131" s="301"/>
    </row>
    <row r="132" spans="3:18">
      <c r="C132" s="149"/>
      <c r="D132" s="148"/>
      <c r="E132" s="148" t="s">
        <v>5</v>
      </c>
      <c r="F132" s="148" t="s">
        <v>6</v>
      </c>
      <c r="G132" s="148" t="s">
        <v>7</v>
      </c>
      <c r="H132" s="148" t="s">
        <v>8</v>
      </c>
      <c r="I132" s="148" t="s">
        <v>9</v>
      </c>
      <c r="J132" s="115" t="s">
        <v>10</v>
      </c>
      <c r="K132" s="123"/>
      <c r="L132" s="149"/>
      <c r="M132" s="148"/>
      <c r="N132" s="148" t="s">
        <v>5</v>
      </c>
      <c r="O132" s="148" t="s">
        <v>6</v>
      </c>
      <c r="P132" s="148" t="s">
        <v>7</v>
      </c>
      <c r="Q132" s="148" t="s">
        <v>8</v>
      </c>
      <c r="R132" s="148" t="s">
        <v>9</v>
      </c>
    </row>
    <row r="133" spans="3:18">
      <c r="C133" s="346">
        <v>2014</v>
      </c>
      <c r="D133" s="146" t="s">
        <v>2</v>
      </c>
      <c r="E133" s="146">
        <v>1400</v>
      </c>
      <c r="F133" s="146">
        <v>1400</v>
      </c>
      <c r="G133" s="146">
        <v>1400</v>
      </c>
      <c r="H133" s="146">
        <v>1400</v>
      </c>
      <c r="I133" s="146">
        <v>1400</v>
      </c>
      <c r="J133" s="97">
        <f>+SUM(E133:I133)</f>
        <v>7000</v>
      </c>
      <c r="K133" s="147"/>
      <c r="L133" s="346">
        <v>2014</v>
      </c>
      <c r="M133" s="146" t="s">
        <v>2</v>
      </c>
      <c r="N133" s="146">
        <f>+E133</f>
        <v>1400</v>
      </c>
      <c r="O133" s="146">
        <f t="shared" ref="O133:R133" si="104">+F133</f>
        <v>1400</v>
      </c>
      <c r="P133" s="146">
        <f t="shared" si="104"/>
        <v>1400</v>
      </c>
      <c r="Q133" s="146">
        <f t="shared" si="104"/>
        <v>1400</v>
      </c>
      <c r="R133" s="146">
        <f t="shared" si="104"/>
        <v>1400</v>
      </c>
    </row>
    <row r="134" spans="3:18">
      <c r="C134" s="346"/>
      <c r="D134" s="146" t="s">
        <v>3</v>
      </c>
      <c r="E134" s="77">
        <v>18.5</v>
      </c>
      <c r="F134" s="77">
        <v>18.5</v>
      </c>
      <c r="G134" s="77">
        <v>18.5</v>
      </c>
      <c r="H134" s="77">
        <v>18.5</v>
      </c>
      <c r="I134" s="77">
        <v>18.5</v>
      </c>
      <c r="J134" s="94"/>
      <c r="K134" s="147"/>
      <c r="L134" s="346"/>
      <c r="M134" s="146" t="s">
        <v>3</v>
      </c>
      <c r="N134" s="77">
        <v>8.91</v>
      </c>
      <c r="O134" s="77">
        <v>8.9100009999999994</v>
      </c>
      <c r="P134" s="77">
        <v>9.5</v>
      </c>
      <c r="Q134" s="77">
        <v>9.5</v>
      </c>
      <c r="R134" s="77">
        <v>10.10084</v>
      </c>
    </row>
    <row r="135" spans="3:18">
      <c r="C135" s="346"/>
      <c r="D135" s="146" t="s">
        <v>10</v>
      </c>
      <c r="E135" s="77">
        <f>+E133*E134</f>
        <v>25900</v>
      </c>
      <c r="F135" s="77">
        <f t="shared" ref="F135:I135" si="105">+F133*F134</f>
        <v>25900</v>
      </c>
      <c r="G135" s="77">
        <f t="shared" si="105"/>
        <v>25900</v>
      </c>
      <c r="H135" s="77">
        <f t="shared" si="105"/>
        <v>25900</v>
      </c>
      <c r="I135" s="77">
        <f t="shared" si="105"/>
        <v>25900</v>
      </c>
      <c r="J135" s="94">
        <f t="shared" ref="J135:J177" si="106">+SUM(E135:I135)</f>
        <v>129500</v>
      </c>
      <c r="K135" s="147"/>
      <c r="L135" s="346"/>
      <c r="M135" s="146" t="s">
        <v>10</v>
      </c>
      <c r="N135" s="77">
        <f>+N133*N134</f>
        <v>12474</v>
      </c>
      <c r="O135" s="77">
        <f t="shared" ref="O135:R135" si="107">+O133*O134</f>
        <v>12474.001399999999</v>
      </c>
      <c r="P135" s="77">
        <f t="shared" si="107"/>
        <v>13300</v>
      </c>
      <c r="Q135" s="77">
        <f t="shared" si="107"/>
        <v>13300</v>
      </c>
      <c r="R135" s="77">
        <f t="shared" si="107"/>
        <v>14141.175999999999</v>
      </c>
    </row>
    <row r="136" spans="3:18">
      <c r="C136" s="93"/>
      <c r="D136" s="146"/>
      <c r="E136" s="146"/>
      <c r="F136" s="146"/>
      <c r="G136" s="146"/>
      <c r="H136" s="146"/>
      <c r="I136" s="146"/>
      <c r="J136" s="97"/>
      <c r="K136" s="147"/>
      <c r="L136" s="93"/>
      <c r="M136" s="146"/>
      <c r="N136" s="146"/>
      <c r="O136" s="146"/>
      <c r="P136" s="146"/>
      <c r="Q136" s="146"/>
      <c r="R136" s="146"/>
    </row>
    <row r="137" spans="3:18">
      <c r="C137" s="304" t="s">
        <v>0</v>
      </c>
      <c r="D137" s="305"/>
      <c r="E137" s="305"/>
      <c r="F137" s="305"/>
      <c r="G137" s="305"/>
      <c r="H137" s="305"/>
      <c r="I137" s="305"/>
      <c r="J137" s="115"/>
      <c r="K137" s="123"/>
      <c r="L137" s="304" t="s">
        <v>12</v>
      </c>
      <c r="M137" s="305"/>
      <c r="N137" s="305"/>
      <c r="O137" s="305"/>
      <c r="P137" s="305"/>
      <c r="Q137" s="305"/>
      <c r="R137" s="305"/>
    </row>
    <row r="138" spans="3:18">
      <c r="C138" s="149"/>
      <c r="D138" s="148"/>
      <c r="E138" s="148" t="s">
        <v>5</v>
      </c>
      <c r="F138" s="148" t="s">
        <v>6</v>
      </c>
      <c r="G138" s="148" t="s">
        <v>7</v>
      </c>
      <c r="H138" s="148" t="s">
        <v>8</v>
      </c>
      <c r="I138" s="148" t="s">
        <v>9</v>
      </c>
      <c r="J138" s="115"/>
      <c r="K138" s="123"/>
      <c r="L138" s="149"/>
      <c r="M138" s="148"/>
      <c r="N138" s="148" t="s">
        <v>5</v>
      </c>
      <c r="O138" s="148" t="s">
        <v>6</v>
      </c>
      <c r="P138" s="148" t="s">
        <v>7</v>
      </c>
      <c r="Q138" s="148" t="s">
        <v>8</v>
      </c>
      <c r="R138" s="148" t="s">
        <v>9</v>
      </c>
    </row>
    <row r="139" spans="3:18">
      <c r="C139" s="346">
        <v>2015</v>
      </c>
      <c r="D139" s="146" t="s">
        <v>2</v>
      </c>
      <c r="E139" s="146">
        <f>+E133*1.05</f>
        <v>1470</v>
      </c>
      <c r="F139" s="146">
        <f t="shared" ref="F139:I139" si="108">+F133*1.05</f>
        <v>1470</v>
      </c>
      <c r="G139" s="146">
        <f t="shared" si="108"/>
        <v>1470</v>
      </c>
      <c r="H139" s="146">
        <f t="shared" si="108"/>
        <v>1470</v>
      </c>
      <c r="I139" s="146">
        <f t="shared" si="108"/>
        <v>1470</v>
      </c>
      <c r="J139" s="97">
        <f t="shared" si="106"/>
        <v>7350</v>
      </c>
      <c r="K139" s="147"/>
      <c r="L139" s="346">
        <v>2015</v>
      </c>
      <c r="M139" s="146" t="s">
        <v>2</v>
      </c>
      <c r="N139" s="146">
        <f>+E139</f>
        <v>1470</v>
      </c>
      <c r="O139" s="146">
        <f t="shared" ref="O139:R139" si="109">+F139</f>
        <v>1470</v>
      </c>
      <c r="P139" s="146">
        <f t="shared" si="109"/>
        <v>1470</v>
      </c>
      <c r="Q139" s="146">
        <f t="shared" si="109"/>
        <v>1470</v>
      </c>
      <c r="R139" s="146">
        <f t="shared" si="109"/>
        <v>1470</v>
      </c>
    </row>
    <row r="140" spans="3:18">
      <c r="C140" s="346"/>
      <c r="D140" s="146" t="s">
        <v>3</v>
      </c>
      <c r="E140" s="77">
        <v>21.5</v>
      </c>
      <c r="F140" s="77">
        <v>21.5</v>
      </c>
      <c r="G140" s="77">
        <v>21.5</v>
      </c>
      <c r="H140" s="77">
        <v>21.5</v>
      </c>
      <c r="I140" s="77">
        <v>21.5</v>
      </c>
      <c r="J140" s="94"/>
      <c r="K140" s="147"/>
      <c r="L140" s="346"/>
      <c r="M140" s="146" t="s">
        <v>3</v>
      </c>
      <c r="N140" s="77">
        <v>8.91</v>
      </c>
      <c r="O140" s="77">
        <v>8.91</v>
      </c>
      <c r="P140" s="77">
        <v>9.5</v>
      </c>
      <c r="Q140" s="77">
        <v>9.5</v>
      </c>
      <c r="R140" s="77">
        <v>10.1</v>
      </c>
    </row>
    <row r="141" spans="3:18">
      <c r="C141" s="346"/>
      <c r="D141" s="146" t="s">
        <v>10</v>
      </c>
      <c r="E141" s="77">
        <f>+E139*E140</f>
        <v>31605</v>
      </c>
      <c r="F141" s="77">
        <f t="shared" ref="F141:I141" si="110">+F139*F140</f>
        <v>31605</v>
      </c>
      <c r="G141" s="77">
        <f t="shared" si="110"/>
        <v>31605</v>
      </c>
      <c r="H141" s="77">
        <f t="shared" si="110"/>
        <v>31605</v>
      </c>
      <c r="I141" s="77">
        <f t="shared" si="110"/>
        <v>31605</v>
      </c>
      <c r="J141" s="94">
        <f t="shared" si="106"/>
        <v>158025</v>
      </c>
      <c r="K141" s="147"/>
      <c r="L141" s="346"/>
      <c r="M141" s="146" t="s">
        <v>10</v>
      </c>
      <c r="N141" s="77">
        <f>+N139*N140</f>
        <v>13097.7</v>
      </c>
      <c r="O141" s="77">
        <f t="shared" ref="O141:R141" si="111">+O139*O140</f>
        <v>13097.7</v>
      </c>
      <c r="P141" s="77">
        <f t="shared" si="111"/>
        <v>13965</v>
      </c>
      <c r="Q141" s="77">
        <f t="shared" si="111"/>
        <v>13965</v>
      </c>
      <c r="R141" s="77">
        <f t="shared" si="111"/>
        <v>14847</v>
      </c>
    </row>
    <row r="142" spans="3:18">
      <c r="C142" s="93"/>
      <c r="D142" s="146"/>
      <c r="E142" s="146"/>
      <c r="F142" s="146"/>
      <c r="G142" s="146"/>
      <c r="H142" s="146"/>
      <c r="I142" s="146"/>
      <c r="J142" s="97"/>
      <c r="K142" s="147"/>
      <c r="L142" s="93"/>
      <c r="M142" s="146"/>
      <c r="N142" s="146"/>
      <c r="O142" s="146"/>
      <c r="P142" s="146"/>
      <c r="Q142" s="146"/>
      <c r="R142" s="146"/>
    </row>
    <row r="143" spans="3:18">
      <c r="C143" s="304" t="s">
        <v>0</v>
      </c>
      <c r="D143" s="305"/>
      <c r="E143" s="305"/>
      <c r="F143" s="305"/>
      <c r="G143" s="305"/>
      <c r="H143" s="305"/>
      <c r="I143" s="305"/>
      <c r="J143" s="115"/>
      <c r="K143" s="123"/>
      <c r="L143" s="304" t="s">
        <v>12</v>
      </c>
      <c r="M143" s="305"/>
      <c r="N143" s="305"/>
      <c r="O143" s="305"/>
      <c r="P143" s="305"/>
      <c r="Q143" s="305"/>
      <c r="R143" s="305"/>
    </row>
    <row r="144" spans="3:18">
      <c r="C144" s="149"/>
      <c r="D144" s="148"/>
      <c r="E144" s="148" t="s">
        <v>5</v>
      </c>
      <c r="F144" s="148" t="s">
        <v>6</v>
      </c>
      <c r="G144" s="148" t="s">
        <v>7</v>
      </c>
      <c r="H144" s="148" t="s">
        <v>8</v>
      </c>
      <c r="I144" s="148" t="s">
        <v>9</v>
      </c>
      <c r="J144" s="115"/>
      <c r="K144" s="123"/>
      <c r="L144" s="149"/>
      <c r="M144" s="148"/>
      <c r="N144" s="148" t="s">
        <v>5</v>
      </c>
      <c r="O144" s="148" t="s">
        <v>6</v>
      </c>
      <c r="P144" s="148" t="s">
        <v>7</v>
      </c>
      <c r="Q144" s="148" t="s">
        <v>8</v>
      </c>
      <c r="R144" s="148" t="s">
        <v>9</v>
      </c>
    </row>
    <row r="145" spans="3:18">
      <c r="C145" s="346">
        <v>2016</v>
      </c>
      <c r="D145" s="146" t="s">
        <v>2</v>
      </c>
      <c r="E145" s="98">
        <f>+E139*1.05</f>
        <v>1543.5</v>
      </c>
      <c r="F145" s="98">
        <f t="shared" ref="F145:I145" si="112">+F139*1.05</f>
        <v>1543.5</v>
      </c>
      <c r="G145" s="98">
        <f t="shared" si="112"/>
        <v>1543.5</v>
      </c>
      <c r="H145" s="98">
        <f t="shared" si="112"/>
        <v>1543.5</v>
      </c>
      <c r="I145" s="98">
        <f t="shared" si="112"/>
        <v>1543.5</v>
      </c>
      <c r="J145" s="99">
        <f t="shared" si="106"/>
        <v>7717.5</v>
      </c>
      <c r="K145" s="147"/>
      <c r="L145" s="346">
        <v>2016</v>
      </c>
      <c r="M145" s="146" t="s">
        <v>2</v>
      </c>
      <c r="N145" s="98">
        <f>+E145</f>
        <v>1543.5</v>
      </c>
      <c r="O145" s="98">
        <f t="shared" ref="O145:R145" si="113">+F145</f>
        <v>1543.5</v>
      </c>
      <c r="P145" s="98">
        <f t="shared" si="113"/>
        <v>1543.5</v>
      </c>
      <c r="Q145" s="98">
        <f t="shared" si="113"/>
        <v>1543.5</v>
      </c>
      <c r="R145" s="98">
        <f t="shared" si="113"/>
        <v>1543.5</v>
      </c>
    </row>
    <row r="146" spans="3:18">
      <c r="C146" s="346"/>
      <c r="D146" s="146" t="s">
        <v>3</v>
      </c>
      <c r="E146" s="77">
        <v>23.5</v>
      </c>
      <c r="F146" s="77">
        <v>23.5</v>
      </c>
      <c r="G146" s="77">
        <v>23.5</v>
      </c>
      <c r="H146" s="77">
        <v>23.5</v>
      </c>
      <c r="I146" s="77">
        <v>23.5</v>
      </c>
      <c r="J146" s="94"/>
      <c r="K146" s="147"/>
      <c r="L146" s="346"/>
      <c r="M146" s="146" t="s">
        <v>3</v>
      </c>
      <c r="N146" s="77">
        <f>+N140*1.05</f>
        <v>9.355500000000001</v>
      </c>
      <c r="O146" s="77">
        <f t="shared" ref="O146:R146" si="114">+O140*1.05</f>
        <v>9.355500000000001</v>
      </c>
      <c r="P146" s="77">
        <f t="shared" si="114"/>
        <v>9.9749999999999996</v>
      </c>
      <c r="Q146" s="77">
        <f t="shared" si="114"/>
        <v>9.9749999999999996</v>
      </c>
      <c r="R146" s="77">
        <f t="shared" si="114"/>
        <v>10.605</v>
      </c>
    </row>
    <row r="147" spans="3:18">
      <c r="C147" s="346"/>
      <c r="D147" s="146" t="s">
        <v>10</v>
      </c>
      <c r="E147" s="77">
        <f>+E145*E146</f>
        <v>36272.25</v>
      </c>
      <c r="F147" s="77">
        <f t="shared" ref="F147:I147" si="115">+F145*F146</f>
        <v>36272.25</v>
      </c>
      <c r="G147" s="77">
        <f t="shared" si="115"/>
        <v>36272.25</v>
      </c>
      <c r="H147" s="77">
        <f t="shared" si="115"/>
        <v>36272.25</v>
      </c>
      <c r="I147" s="77">
        <f t="shared" si="115"/>
        <v>36272.25</v>
      </c>
      <c r="J147" s="94">
        <f t="shared" si="106"/>
        <v>181361.25</v>
      </c>
      <c r="K147" s="147"/>
      <c r="L147" s="346"/>
      <c r="M147" s="146" t="s">
        <v>10</v>
      </c>
      <c r="N147" s="77">
        <f>+N145*N146</f>
        <v>14440.214250000001</v>
      </c>
      <c r="O147" s="77">
        <f t="shared" ref="O147:R147" si="116">+O145*O146</f>
        <v>14440.214250000001</v>
      </c>
      <c r="P147" s="77">
        <f t="shared" si="116"/>
        <v>15396.412499999999</v>
      </c>
      <c r="Q147" s="77">
        <f t="shared" si="116"/>
        <v>15396.412499999999</v>
      </c>
      <c r="R147" s="77">
        <f t="shared" si="116"/>
        <v>16368.817500000001</v>
      </c>
    </row>
    <row r="148" spans="3:18">
      <c r="C148" s="93"/>
      <c r="D148" s="146"/>
      <c r="E148" s="146"/>
      <c r="F148" s="146"/>
      <c r="G148" s="146"/>
      <c r="H148" s="146"/>
      <c r="I148" s="146"/>
      <c r="J148" s="97"/>
      <c r="K148" s="147"/>
      <c r="L148" s="93"/>
      <c r="M148" s="146"/>
      <c r="N148" s="146"/>
      <c r="O148" s="146"/>
      <c r="P148" s="146"/>
      <c r="Q148" s="146"/>
      <c r="R148" s="146"/>
    </row>
    <row r="149" spans="3:18">
      <c r="C149" s="304" t="s">
        <v>0</v>
      </c>
      <c r="D149" s="305"/>
      <c r="E149" s="305"/>
      <c r="F149" s="305"/>
      <c r="G149" s="305"/>
      <c r="H149" s="305"/>
      <c r="I149" s="305"/>
      <c r="J149" s="115"/>
      <c r="K149" s="123"/>
      <c r="L149" s="304" t="s">
        <v>12</v>
      </c>
      <c r="M149" s="305"/>
      <c r="N149" s="305"/>
      <c r="O149" s="305"/>
      <c r="P149" s="305"/>
      <c r="Q149" s="305"/>
      <c r="R149" s="305"/>
    </row>
    <row r="150" spans="3:18">
      <c r="C150" s="149"/>
      <c r="D150" s="148"/>
      <c r="E150" s="148" t="s">
        <v>5</v>
      </c>
      <c r="F150" s="148" t="s">
        <v>6</v>
      </c>
      <c r="G150" s="148" t="s">
        <v>7</v>
      </c>
      <c r="H150" s="148" t="s">
        <v>8</v>
      </c>
      <c r="I150" s="148" t="s">
        <v>9</v>
      </c>
      <c r="J150" s="115"/>
      <c r="K150" s="123"/>
      <c r="L150" s="149"/>
      <c r="M150" s="148"/>
      <c r="N150" s="148" t="s">
        <v>5</v>
      </c>
      <c r="O150" s="148" t="s">
        <v>6</v>
      </c>
      <c r="P150" s="148" t="s">
        <v>7</v>
      </c>
      <c r="Q150" s="148" t="s">
        <v>8</v>
      </c>
      <c r="R150" s="148" t="s">
        <v>9</v>
      </c>
    </row>
    <row r="151" spans="3:18">
      <c r="C151" s="346">
        <v>2017</v>
      </c>
      <c r="D151" s="146" t="s">
        <v>2</v>
      </c>
      <c r="E151" s="98">
        <f>+E145*1.05</f>
        <v>1620.6750000000002</v>
      </c>
      <c r="F151" s="98">
        <f t="shared" ref="F151:I151" si="117">+F145*1.05</f>
        <v>1620.6750000000002</v>
      </c>
      <c r="G151" s="98">
        <f t="shared" si="117"/>
        <v>1620.6750000000002</v>
      </c>
      <c r="H151" s="98">
        <f t="shared" si="117"/>
        <v>1620.6750000000002</v>
      </c>
      <c r="I151" s="98">
        <f t="shared" si="117"/>
        <v>1620.6750000000002</v>
      </c>
      <c r="J151" s="99">
        <f t="shared" si="106"/>
        <v>8103.3750000000009</v>
      </c>
      <c r="K151" s="147"/>
      <c r="L151" s="346">
        <v>2017</v>
      </c>
      <c r="M151" s="146" t="s">
        <v>2</v>
      </c>
      <c r="N151" s="98">
        <f>+E151</f>
        <v>1620.6750000000002</v>
      </c>
      <c r="O151" s="98">
        <f t="shared" ref="O151:R151" si="118">+F151</f>
        <v>1620.6750000000002</v>
      </c>
      <c r="P151" s="98">
        <f t="shared" si="118"/>
        <v>1620.6750000000002</v>
      </c>
      <c r="Q151" s="98">
        <f t="shared" si="118"/>
        <v>1620.6750000000002</v>
      </c>
      <c r="R151" s="98">
        <f t="shared" si="118"/>
        <v>1620.6750000000002</v>
      </c>
    </row>
    <row r="152" spans="3:18">
      <c r="C152" s="346"/>
      <c r="D152" s="146" t="s">
        <v>3</v>
      </c>
      <c r="E152" s="77">
        <v>23.5</v>
      </c>
      <c r="F152" s="77">
        <v>23.5</v>
      </c>
      <c r="G152" s="77">
        <v>23.5</v>
      </c>
      <c r="H152" s="77">
        <v>23.5</v>
      </c>
      <c r="I152" s="77">
        <v>23.5</v>
      </c>
      <c r="J152" s="94"/>
      <c r="K152" s="147"/>
      <c r="L152" s="346"/>
      <c r="M152" s="146" t="s">
        <v>3</v>
      </c>
      <c r="N152" s="77">
        <f>+N146</f>
        <v>9.355500000000001</v>
      </c>
      <c r="O152" s="77">
        <f t="shared" ref="O152:R152" si="119">+O146</f>
        <v>9.355500000000001</v>
      </c>
      <c r="P152" s="77">
        <f t="shared" si="119"/>
        <v>9.9749999999999996</v>
      </c>
      <c r="Q152" s="77">
        <f t="shared" si="119"/>
        <v>9.9749999999999996</v>
      </c>
      <c r="R152" s="77">
        <f t="shared" si="119"/>
        <v>10.605</v>
      </c>
    </row>
    <row r="153" spans="3:18">
      <c r="C153" s="346"/>
      <c r="D153" s="146" t="s">
        <v>10</v>
      </c>
      <c r="E153" s="77">
        <f>+E151*E152</f>
        <v>38085.862500000003</v>
      </c>
      <c r="F153" s="77">
        <f t="shared" ref="F153:I153" si="120">+F151*F152</f>
        <v>38085.862500000003</v>
      </c>
      <c r="G153" s="77">
        <f t="shared" si="120"/>
        <v>38085.862500000003</v>
      </c>
      <c r="H153" s="77">
        <f t="shared" si="120"/>
        <v>38085.862500000003</v>
      </c>
      <c r="I153" s="77">
        <f t="shared" si="120"/>
        <v>38085.862500000003</v>
      </c>
      <c r="J153" s="94">
        <f t="shared" si="106"/>
        <v>190429.3125</v>
      </c>
      <c r="K153" s="147"/>
      <c r="L153" s="346"/>
      <c r="M153" s="146" t="s">
        <v>10</v>
      </c>
      <c r="N153" s="77">
        <f>+N151*N152</f>
        <v>15162.224962500004</v>
      </c>
      <c r="O153" s="77">
        <f t="shared" ref="O153:R153" si="121">+O151*O152</f>
        <v>15162.224962500004</v>
      </c>
      <c r="P153" s="77">
        <f t="shared" si="121"/>
        <v>16166.233125000001</v>
      </c>
      <c r="Q153" s="77">
        <f t="shared" si="121"/>
        <v>16166.233125000001</v>
      </c>
      <c r="R153" s="77">
        <f t="shared" si="121"/>
        <v>17187.258375000001</v>
      </c>
    </row>
    <row r="154" spans="3:18">
      <c r="C154" s="93"/>
      <c r="D154" s="146"/>
      <c r="E154" s="146"/>
      <c r="F154" s="146"/>
      <c r="G154" s="146"/>
      <c r="H154" s="146"/>
      <c r="I154" s="146"/>
      <c r="J154" s="97"/>
      <c r="K154" s="147"/>
      <c r="L154" s="93"/>
      <c r="M154" s="146"/>
      <c r="N154" s="146"/>
      <c r="O154" s="146"/>
      <c r="P154" s="146"/>
      <c r="Q154" s="146"/>
      <c r="R154" s="146"/>
    </row>
    <row r="155" spans="3:18">
      <c r="C155" s="304" t="s">
        <v>0</v>
      </c>
      <c r="D155" s="305"/>
      <c r="E155" s="305"/>
      <c r="F155" s="305"/>
      <c r="G155" s="305"/>
      <c r="H155" s="305"/>
      <c r="I155" s="305"/>
      <c r="J155" s="115"/>
      <c r="K155" s="123"/>
      <c r="L155" s="304" t="s">
        <v>12</v>
      </c>
      <c r="M155" s="305"/>
      <c r="N155" s="305"/>
      <c r="O155" s="305"/>
      <c r="P155" s="305"/>
      <c r="Q155" s="305"/>
      <c r="R155" s="305"/>
    </row>
    <row r="156" spans="3:18">
      <c r="C156" s="149"/>
      <c r="D156" s="148"/>
      <c r="E156" s="148" t="s">
        <v>5</v>
      </c>
      <c r="F156" s="148" t="s">
        <v>6</v>
      </c>
      <c r="G156" s="148" t="s">
        <v>7</v>
      </c>
      <c r="H156" s="148" t="s">
        <v>8</v>
      </c>
      <c r="I156" s="148" t="s">
        <v>9</v>
      </c>
      <c r="J156" s="115"/>
      <c r="K156" s="123"/>
      <c r="L156" s="149"/>
      <c r="M156" s="148"/>
      <c r="N156" s="148" t="s">
        <v>5</v>
      </c>
      <c r="O156" s="148" t="s">
        <v>6</v>
      </c>
      <c r="P156" s="148" t="s">
        <v>7</v>
      </c>
      <c r="Q156" s="148" t="s">
        <v>8</v>
      </c>
      <c r="R156" s="148" t="s">
        <v>9</v>
      </c>
    </row>
    <row r="157" spans="3:18">
      <c r="C157" s="346">
        <v>2018</v>
      </c>
      <c r="D157" s="146" t="s">
        <v>2</v>
      </c>
      <c r="E157" s="98">
        <f>+E151*1.05</f>
        <v>1701.7087500000002</v>
      </c>
      <c r="F157" s="98">
        <f t="shared" ref="F157:I157" si="122">+F151*1.05</f>
        <v>1701.7087500000002</v>
      </c>
      <c r="G157" s="98">
        <f t="shared" si="122"/>
        <v>1701.7087500000002</v>
      </c>
      <c r="H157" s="98">
        <f t="shared" si="122"/>
        <v>1701.7087500000002</v>
      </c>
      <c r="I157" s="98">
        <f t="shared" si="122"/>
        <v>1701.7087500000002</v>
      </c>
      <c r="J157" s="99">
        <f t="shared" si="106"/>
        <v>8508.5437500000007</v>
      </c>
      <c r="K157" s="147"/>
      <c r="L157" s="346">
        <v>2018</v>
      </c>
      <c r="M157" s="146" t="s">
        <v>2</v>
      </c>
      <c r="N157" s="98">
        <f>+E157</f>
        <v>1701.7087500000002</v>
      </c>
      <c r="O157" s="98">
        <f t="shared" ref="O157:R157" si="123">+F157</f>
        <v>1701.7087500000002</v>
      </c>
      <c r="P157" s="98">
        <f t="shared" si="123"/>
        <v>1701.7087500000002</v>
      </c>
      <c r="Q157" s="98">
        <f t="shared" si="123"/>
        <v>1701.7087500000002</v>
      </c>
      <c r="R157" s="98">
        <f t="shared" si="123"/>
        <v>1701.7087500000002</v>
      </c>
    </row>
    <row r="158" spans="3:18">
      <c r="C158" s="346"/>
      <c r="D158" s="146" t="s">
        <v>3</v>
      </c>
      <c r="E158" s="77">
        <v>25.5</v>
      </c>
      <c r="F158" s="77">
        <v>25.5</v>
      </c>
      <c r="G158" s="77">
        <v>25.5</v>
      </c>
      <c r="H158" s="77">
        <v>25.5</v>
      </c>
      <c r="I158" s="77">
        <v>25.5</v>
      </c>
      <c r="J158" s="94"/>
      <c r="K158" s="147"/>
      <c r="L158" s="346"/>
      <c r="M158" s="146" t="s">
        <v>3</v>
      </c>
      <c r="N158" s="77">
        <f>+N152*1.05</f>
        <v>9.8232750000000006</v>
      </c>
      <c r="O158" s="77">
        <f t="shared" ref="O158:R158" si="124">+O152*1.05</f>
        <v>9.8232750000000006</v>
      </c>
      <c r="P158" s="77">
        <f t="shared" si="124"/>
        <v>10.473750000000001</v>
      </c>
      <c r="Q158" s="77">
        <f t="shared" si="124"/>
        <v>10.473750000000001</v>
      </c>
      <c r="R158" s="77">
        <f t="shared" si="124"/>
        <v>11.135250000000001</v>
      </c>
    </row>
    <row r="159" spans="3:18">
      <c r="C159" s="346"/>
      <c r="D159" s="146" t="s">
        <v>10</v>
      </c>
      <c r="E159" s="77">
        <f>+E157*E158</f>
        <v>43393.573125000003</v>
      </c>
      <c r="F159" s="77">
        <f t="shared" ref="F159:I159" si="125">+F157*F158</f>
        <v>43393.573125000003</v>
      </c>
      <c r="G159" s="77">
        <f t="shared" si="125"/>
        <v>43393.573125000003</v>
      </c>
      <c r="H159" s="77">
        <f t="shared" si="125"/>
        <v>43393.573125000003</v>
      </c>
      <c r="I159" s="77">
        <f t="shared" si="125"/>
        <v>43393.573125000003</v>
      </c>
      <c r="J159" s="94">
        <f t="shared" si="106"/>
        <v>216967.86562500001</v>
      </c>
      <c r="K159" s="147"/>
      <c r="L159" s="346"/>
      <c r="M159" s="146" t="s">
        <v>10</v>
      </c>
      <c r="N159" s="77">
        <f>+N157*N158</f>
        <v>16716.353021156254</v>
      </c>
      <c r="O159" s="77">
        <f t="shared" ref="O159:R159" si="126">+O157*O158</f>
        <v>16716.353021156254</v>
      </c>
      <c r="P159" s="77">
        <f t="shared" si="126"/>
        <v>17823.272020312503</v>
      </c>
      <c r="Q159" s="77">
        <f t="shared" si="126"/>
        <v>17823.272020312503</v>
      </c>
      <c r="R159" s="77">
        <f t="shared" si="126"/>
        <v>18948.952358437506</v>
      </c>
    </row>
    <row r="160" spans="3:18">
      <c r="C160" s="93"/>
      <c r="D160" s="146"/>
      <c r="E160" s="146"/>
      <c r="F160" s="146"/>
      <c r="G160" s="146"/>
      <c r="H160" s="146"/>
      <c r="I160" s="146"/>
      <c r="J160" s="97"/>
      <c r="K160" s="147"/>
      <c r="L160" s="93"/>
      <c r="M160" s="146"/>
      <c r="N160" s="146"/>
      <c r="O160" s="146"/>
      <c r="P160" s="146"/>
      <c r="Q160" s="146"/>
      <c r="R160" s="146"/>
    </row>
    <row r="161" spans="3:18">
      <c r="C161" s="304" t="s">
        <v>0</v>
      </c>
      <c r="D161" s="305"/>
      <c r="E161" s="305"/>
      <c r="F161" s="305"/>
      <c r="G161" s="305"/>
      <c r="H161" s="305"/>
      <c r="I161" s="305"/>
      <c r="J161" s="115"/>
      <c r="K161" s="123"/>
      <c r="L161" s="304" t="s">
        <v>12</v>
      </c>
      <c r="M161" s="305"/>
      <c r="N161" s="305"/>
      <c r="O161" s="305"/>
      <c r="P161" s="305"/>
      <c r="Q161" s="305"/>
      <c r="R161" s="305"/>
    </row>
    <row r="162" spans="3:18">
      <c r="C162" s="149"/>
      <c r="D162" s="148"/>
      <c r="E162" s="148" t="s">
        <v>5</v>
      </c>
      <c r="F162" s="148" t="s">
        <v>6</v>
      </c>
      <c r="G162" s="148" t="s">
        <v>7</v>
      </c>
      <c r="H162" s="148" t="s">
        <v>8</v>
      </c>
      <c r="I162" s="148" t="s">
        <v>9</v>
      </c>
      <c r="J162" s="115"/>
      <c r="K162" s="123"/>
      <c r="L162" s="149"/>
      <c r="M162" s="148"/>
      <c r="N162" s="148" t="s">
        <v>5</v>
      </c>
      <c r="O162" s="148" t="s">
        <v>6</v>
      </c>
      <c r="P162" s="148" t="s">
        <v>7</v>
      </c>
      <c r="Q162" s="148" t="s">
        <v>8</v>
      </c>
      <c r="R162" s="148" t="s">
        <v>9</v>
      </c>
    </row>
    <row r="163" spans="3:18">
      <c r="C163" s="346">
        <v>2019</v>
      </c>
      <c r="D163" s="146" t="s">
        <v>2</v>
      </c>
      <c r="E163" s="98">
        <f>+E157*1.05</f>
        <v>1786.7941875000004</v>
      </c>
      <c r="F163" s="98">
        <f t="shared" ref="F163:I163" si="127">+F157*1.05</f>
        <v>1786.7941875000004</v>
      </c>
      <c r="G163" s="98">
        <f t="shared" si="127"/>
        <v>1786.7941875000004</v>
      </c>
      <c r="H163" s="98">
        <f t="shared" si="127"/>
        <v>1786.7941875000004</v>
      </c>
      <c r="I163" s="98">
        <f t="shared" si="127"/>
        <v>1786.7941875000004</v>
      </c>
      <c r="J163" s="99">
        <f t="shared" si="106"/>
        <v>8933.970937500002</v>
      </c>
      <c r="K163" s="147"/>
      <c r="L163" s="346">
        <v>2019</v>
      </c>
      <c r="M163" s="146" t="s">
        <v>2</v>
      </c>
      <c r="N163" s="98">
        <f>+E163</f>
        <v>1786.7941875000004</v>
      </c>
      <c r="O163" s="98">
        <f t="shared" ref="O163:R163" si="128">+F163</f>
        <v>1786.7941875000004</v>
      </c>
      <c r="P163" s="98">
        <f t="shared" si="128"/>
        <v>1786.7941875000004</v>
      </c>
      <c r="Q163" s="98">
        <f t="shared" si="128"/>
        <v>1786.7941875000004</v>
      </c>
      <c r="R163" s="98">
        <f t="shared" si="128"/>
        <v>1786.7941875000004</v>
      </c>
    </row>
    <row r="164" spans="3:18">
      <c r="C164" s="346"/>
      <c r="D164" s="146" t="s">
        <v>3</v>
      </c>
      <c r="E164" s="77">
        <v>25.5</v>
      </c>
      <c r="F164" s="77">
        <v>25.5</v>
      </c>
      <c r="G164" s="77">
        <v>25.5</v>
      </c>
      <c r="H164" s="77">
        <v>25.5</v>
      </c>
      <c r="I164" s="77">
        <v>25.5</v>
      </c>
      <c r="J164" s="94"/>
      <c r="K164" s="147"/>
      <c r="L164" s="346"/>
      <c r="M164" s="146" t="s">
        <v>3</v>
      </c>
      <c r="N164" s="77">
        <f>+N158</f>
        <v>9.8232750000000006</v>
      </c>
      <c r="O164" s="77">
        <f t="shared" ref="O164:R164" si="129">+O158</f>
        <v>9.8232750000000006</v>
      </c>
      <c r="P164" s="77">
        <f t="shared" si="129"/>
        <v>10.473750000000001</v>
      </c>
      <c r="Q164" s="77">
        <f t="shared" si="129"/>
        <v>10.473750000000001</v>
      </c>
      <c r="R164" s="77">
        <f t="shared" si="129"/>
        <v>11.135250000000001</v>
      </c>
    </row>
    <row r="165" spans="3:18">
      <c r="C165" s="346"/>
      <c r="D165" s="146" t="s">
        <v>10</v>
      </c>
      <c r="E165" s="77">
        <f>+E163*E164</f>
        <v>45563.251781250008</v>
      </c>
      <c r="F165" s="77">
        <f t="shared" ref="F165:I165" si="130">+F163*F164</f>
        <v>45563.251781250008</v>
      </c>
      <c r="G165" s="77">
        <f t="shared" si="130"/>
        <v>45563.251781250008</v>
      </c>
      <c r="H165" s="77">
        <f t="shared" si="130"/>
        <v>45563.251781250008</v>
      </c>
      <c r="I165" s="77">
        <f t="shared" si="130"/>
        <v>45563.251781250008</v>
      </c>
      <c r="J165" s="94">
        <f t="shared" si="106"/>
        <v>227816.25890625003</v>
      </c>
      <c r="K165" s="147"/>
      <c r="L165" s="346"/>
      <c r="M165" s="146" t="s">
        <v>10</v>
      </c>
      <c r="N165" s="77">
        <f>+N163*N164</f>
        <v>17552.170672214066</v>
      </c>
      <c r="O165" s="77">
        <f t="shared" ref="O165:R165" si="131">+O163*O164</f>
        <v>17552.170672214066</v>
      </c>
      <c r="P165" s="77">
        <f t="shared" si="131"/>
        <v>18714.435621328132</v>
      </c>
      <c r="Q165" s="77">
        <f t="shared" si="131"/>
        <v>18714.435621328132</v>
      </c>
      <c r="R165" s="77">
        <f t="shared" si="131"/>
        <v>19896.399976359382</v>
      </c>
    </row>
    <row r="166" spans="3:18">
      <c r="C166" s="93"/>
      <c r="D166" s="146"/>
      <c r="E166" s="146"/>
      <c r="F166" s="146"/>
      <c r="G166" s="146"/>
      <c r="H166" s="146"/>
      <c r="I166" s="146"/>
      <c r="J166" s="97"/>
      <c r="K166" s="147"/>
      <c r="L166" s="93"/>
      <c r="M166" s="146"/>
      <c r="N166" s="146"/>
      <c r="O166" s="146"/>
      <c r="P166" s="146"/>
      <c r="Q166" s="146"/>
      <c r="R166" s="146"/>
    </row>
    <row r="167" spans="3:18">
      <c r="C167" s="304" t="s">
        <v>0</v>
      </c>
      <c r="D167" s="305"/>
      <c r="E167" s="305"/>
      <c r="F167" s="305"/>
      <c r="G167" s="305"/>
      <c r="H167" s="305"/>
      <c r="I167" s="305"/>
      <c r="J167" s="115"/>
      <c r="K167" s="123"/>
      <c r="L167" s="304" t="s">
        <v>12</v>
      </c>
      <c r="M167" s="305"/>
      <c r="N167" s="305"/>
      <c r="O167" s="305"/>
      <c r="P167" s="305"/>
      <c r="Q167" s="305"/>
      <c r="R167" s="305"/>
    </row>
    <row r="168" spans="3:18">
      <c r="C168" s="149"/>
      <c r="D168" s="148"/>
      <c r="E168" s="148" t="s">
        <v>5</v>
      </c>
      <c r="F168" s="148" t="s">
        <v>6</v>
      </c>
      <c r="G168" s="148" t="s">
        <v>7</v>
      </c>
      <c r="H168" s="148" t="s">
        <v>8</v>
      </c>
      <c r="I168" s="148" t="s">
        <v>9</v>
      </c>
      <c r="J168" s="115"/>
      <c r="K168" s="123"/>
      <c r="L168" s="149"/>
      <c r="M168" s="148"/>
      <c r="N168" s="148" t="s">
        <v>5</v>
      </c>
      <c r="O168" s="148" t="s">
        <v>6</v>
      </c>
      <c r="P168" s="148" t="s">
        <v>7</v>
      </c>
      <c r="Q168" s="148" t="s">
        <v>8</v>
      </c>
      <c r="R168" s="148" t="s">
        <v>9</v>
      </c>
    </row>
    <row r="169" spans="3:18">
      <c r="C169" s="346">
        <v>2020</v>
      </c>
      <c r="D169" s="146" t="s">
        <v>2</v>
      </c>
      <c r="E169" s="98">
        <f>+E163*1.05</f>
        <v>1876.1338968750003</v>
      </c>
      <c r="F169" s="98">
        <f t="shared" ref="F169:I169" si="132">+F163*1.05</f>
        <v>1876.1338968750003</v>
      </c>
      <c r="G169" s="98">
        <f t="shared" si="132"/>
        <v>1876.1338968750003</v>
      </c>
      <c r="H169" s="98">
        <f t="shared" si="132"/>
        <v>1876.1338968750003</v>
      </c>
      <c r="I169" s="98">
        <f t="shared" si="132"/>
        <v>1876.1338968750003</v>
      </c>
      <c r="J169" s="99">
        <f t="shared" si="106"/>
        <v>9380.669484375001</v>
      </c>
      <c r="K169" s="147"/>
      <c r="L169" s="346">
        <v>2020</v>
      </c>
      <c r="M169" s="146" t="s">
        <v>2</v>
      </c>
      <c r="N169" s="98">
        <f>+E169</f>
        <v>1876.1338968750003</v>
      </c>
      <c r="O169" s="98">
        <f t="shared" ref="O169:R169" si="133">+F169</f>
        <v>1876.1338968750003</v>
      </c>
      <c r="P169" s="98">
        <f t="shared" si="133"/>
        <v>1876.1338968750003</v>
      </c>
      <c r="Q169" s="98">
        <f t="shared" si="133"/>
        <v>1876.1338968750003</v>
      </c>
      <c r="R169" s="98">
        <f t="shared" si="133"/>
        <v>1876.1338968750003</v>
      </c>
    </row>
    <row r="170" spans="3:18">
      <c r="C170" s="346"/>
      <c r="D170" s="146" t="s">
        <v>3</v>
      </c>
      <c r="E170" s="77">
        <v>27.5</v>
      </c>
      <c r="F170" s="77">
        <v>27.5</v>
      </c>
      <c r="G170" s="77">
        <v>27.5</v>
      </c>
      <c r="H170" s="77">
        <v>27.5</v>
      </c>
      <c r="I170" s="77">
        <v>27.5</v>
      </c>
      <c r="J170" s="94"/>
      <c r="K170" s="147"/>
      <c r="L170" s="346"/>
      <c r="M170" s="146" t="s">
        <v>3</v>
      </c>
      <c r="N170" s="77">
        <f>+N164*1.05</f>
        <v>10.314438750000001</v>
      </c>
      <c r="O170" s="77">
        <f t="shared" ref="O170:R170" si="134">+O164*1.05</f>
        <v>10.314438750000001</v>
      </c>
      <c r="P170" s="77">
        <f t="shared" si="134"/>
        <v>10.997437500000002</v>
      </c>
      <c r="Q170" s="77">
        <f t="shared" si="134"/>
        <v>10.997437500000002</v>
      </c>
      <c r="R170" s="77">
        <f t="shared" si="134"/>
        <v>11.692012500000002</v>
      </c>
    </row>
    <row r="171" spans="3:18">
      <c r="C171" s="346"/>
      <c r="D171" s="146" t="s">
        <v>10</v>
      </c>
      <c r="E171" s="77">
        <f>+E169*E170</f>
        <v>51593.682164062513</v>
      </c>
      <c r="F171" s="77">
        <f t="shared" ref="F171:I171" si="135">+F169*F170</f>
        <v>51593.682164062513</v>
      </c>
      <c r="G171" s="77">
        <f t="shared" si="135"/>
        <v>51593.682164062513</v>
      </c>
      <c r="H171" s="77">
        <f t="shared" si="135"/>
        <v>51593.682164062513</v>
      </c>
      <c r="I171" s="77">
        <f t="shared" si="135"/>
        <v>51593.682164062513</v>
      </c>
      <c r="J171" s="94">
        <f t="shared" si="106"/>
        <v>257968.41082031257</v>
      </c>
      <c r="K171" s="147"/>
      <c r="L171" s="346"/>
      <c r="M171" s="146" t="s">
        <v>10</v>
      </c>
      <c r="N171" s="77">
        <f>+N169*N170</f>
        <v>19351.26816611601</v>
      </c>
      <c r="O171" s="77">
        <f t="shared" ref="O171:R171" si="136">+O169*O170</f>
        <v>19351.26816611601</v>
      </c>
      <c r="P171" s="77">
        <f t="shared" si="136"/>
        <v>20632.665272514267</v>
      </c>
      <c r="Q171" s="77">
        <f t="shared" si="136"/>
        <v>20632.665272514267</v>
      </c>
      <c r="R171" s="77">
        <f t="shared" si="136"/>
        <v>21935.78097393622</v>
      </c>
    </row>
    <row r="172" spans="3:18">
      <c r="C172" s="93"/>
      <c r="D172" s="146"/>
      <c r="E172" s="146"/>
      <c r="F172" s="146"/>
      <c r="G172" s="146"/>
      <c r="H172" s="146"/>
      <c r="I172" s="146"/>
      <c r="J172" s="97"/>
      <c r="K172" s="147"/>
      <c r="L172" s="93"/>
      <c r="M172" s="146"/>
      <c r="N172" s="146"/>
      <c r="O172" s="146"/>
      <c r="P172" s="146"/>
      <c r="Q172" s="146"/>
      <c r="R172" s="146"/>
    </row>
    <row r="173" spans="3:18">
      <c r="C173" s="304" t="s">
        <v>0</v>
      </c>
      <c r="D173" s="305"/>
      <c r="E173" s="305"/>
      <c r="F173" s="305"/>
      <c r="G173" s="305"/>
      <c r="H173" s="305"/>
      <c r="I173" s="305"/>
      <c r="J173" s="115"/>
      <c r="K173" s="123"/>
      <c r="L173" s="304" t="s">
        <v>12</v>
      </c>
      <c r="M173" s="305"/>
      <c r="N173" s="305"/>
      <c r="O173" s="305"/>
      <c r="P173" s="305"/>
      <c r="Q173" s="305"/>
      <c r="R173" s="305"/>
    </row>
    <row r="174" spans="3:18">
      <c r="C174" s="149"/>
      <c r="D174" s="148"/>
      <c r="E174" s="148" t="s">
        <v>5</v>
      </c>
      <c r="F174" s="148" t="s">
        <v>6</v>
      </c>
      <c r="G174" s="148" t="s">
        <v>7</v>
      </c>
      <c r="H174" s="148" t="s">
        <v>8</v>
      </c>
      <c r="I174" s="148" t="s">
        <v>9</v>
      </c>
      <c r="J174" s="115"/>
      <c r="K174" s="123"/>
      <c r="L174" s="149"/>
      <c r="M174" s="148"/>
      <c r="N174" s="148" t="s">
        <v>5</v>
      </c>
      <c r="O174" s="148" t="s">
        <v>6</v>
      </c>
      <c r="P174" s="148" t="s">
        <v>7</v>
      </c>
      <c r="Q174" s="148" t="s">
        <v>8</v>
      </c>
      <c r="R174" s="148" t="s">
        <v>9</v>
      </c>
    </row>
    <row r="175" spans="3:18">
      <c r="C175" s="346">
        <v>2021</v>
      </c>
      <c r="D175" s="146" t="s">
        <v>2</v>
      </c>
      <c r="E175" s="98">
        <f>+E169*1.05</f>
        <v>1969.9405917187505</v>
      </c>
      <c r="F175" s="98">
        <f t="shared" ref="F175:I175" si="137">+F169*1.05</f>
        <v>1969.9405917187505</v>
      </c>
      <c r="G175" s="98">
        <f t="shared" si="137"/>
        <v>1969.9405917187505</v>
      </c>
      <c r="H175" s="98">
        <f t="shared" si="137"/>
        <v>1969.9405917187505</v>
      </c>
      <c r="I175" s="98">
        <f t="shared" si="137"/>
        <v>1969.9405917187505</v>
      </c>
      <c r="J175" s="99">
        <f t="shared" si="106"/>
        <v>9849.7029585937526</v>
      </c>
      <c r="K175" s="147"/>
      <c r="L175" s="346">
        <v>2021</v>
      </c>
      <c r="M175" s="146" t="s">
        <v>2</v>
      </c>
      <c r="N175" s="98">
        <f>+E175</f>
        <v>1969.9405917187505</v>
      </c>
      <c r="O175" s="98">
        <f t="shared" ref="O175:R175" si="138">+F175</f>
        <v>1969.9405917187505</v>
      </c>
      <c r="P175" s="98">
        <f t="shared" si="138"/>
        <v>1969.9405917187505</v>
      </c>
      <c r="Q175" s="98">
        <f t="shared" si="138"/>
        <v>1969.9405917187505</v>
      </c>
      <c r="R175" s="98">
        <f t="shared" si="138"/>
        <v>1969.9405917187505</v>
      </c>
    </row>
    <row r="176" spans="3:18">
      <c r="C176" s="346"/>
      <c r="D176" s="146" t="s">
        <v>3</v>
      </c>
      <c r="E176" s="77">
        <v>27.5</v>
      </c>
      <c r="F176" s="77">
        <v>27.5</v>
      </c>
      <c r="G176" s="77">
        <v>27.5</v>
      </c>
      <c r="H176" s="77">
        <v>27.5</v>
      </c>
      <c r="I176" s="77">
        <v>27.5</v>
      </c>
      <c r="J176" s="94"/>
      <c r="K176" s="147"/>
      <c r="L176" s="346"/>
      <c r="M176" s="146" t="s">
        <v>3</v>
      </c>
      <c r="N176" s="77">
        <f>+N170</f>
        <v>10.314438750000001</v>
      </c>
      <c r="O176" s="77">
        <f t="shared" ref="O176:R176" si="139">+O170</f>
        <v>10.314438750000001</v>
      </c>
      <c r="P176" s="77">
        <f t="shared" si="139"/>
        <v>10.997437500000002</v>
      </c>
      <c r="Q176" s="77">
        <f t="shared" si="139"/>
        <v>10.997437500000002</v>
      </c>
      <c r="R176" s="77">
        <f t="shared" si="139"/>
        <v>11.692012500000002</v>
      </c>
    </row>
    <row r="177" spans="2:18" ht="15.75" thickBot="1">
      <c r="C177" s="347"/>
      <c r="D177" s="100" t="s">
        <v>10</v>
      </c>
      <c r="E177" s="95">
        <f>+E175*E176</f>
        <v>54173.366272265637</v>
      </c>
      <c r="F177" s="95">
        <f t="shared" ref="F177:I177" si="140">+F175*F176</f>
        <v>54173.366272265637</v>
      </c>
      <c r="G177" s="95">
        <f t="shared" si="140"/>
        <v>54173.366272265637</v>
      </c>
      <c r="H177" s="95">
        <f t="shared" si="140"/>
        <v>54173.366272265637</v>
      </c>
      <c r="I177" s="95">
        <f t="shared" si="140"/>
        <v>54173.366272265637</v>
      </c>
      <c r="J177" s="96">
        <f t="shared" si="106"/>
        <v>270866.83136132819</v>
      </c>
      <c r="K177" s="147"/>
      <c r="L177" s="347"/>
      <c r="M177" s="100" t="s">
        <v>10</v>
      </c>
      <c r="N177" s="95">
        <f>+N175*N176</f>
        <v>20318.831574421813</v>
      </c>
      <c r="O177" s="95">
        <f t="shared" ref="O177:R177" si="141">+O175*O176</f>
        <v>20318.831574421813</v>
      </c>
      <c r="P177" s="95">
        <f t="shared" si="141"/>
        <v>21664.298536139981</v>
      </c>
      <c r="Q177" s="95">
        <f t="shared" si="141"/>
        <v>21664.298536139981</v>
      </c>
      <c r="R177" s="95">
        <f t="shared" si="141"/>
        <v>23032.570022633034</v>
      </c>
    </row>
    <row r="181" spans="2:18">
      <c r="B181" s="119"/>
      <c r="C181" s="120">
        <v>2014</v>
      </c>
      <c r="D181" s="120">
        <v>2015</v>
      </c>
      <c r="E181" s="120">
        <v>2016</v>
      </c>
      <c r="F181" s="120">
        <v>2017</v>
      </c>
      <c r="G181" s="120">
        <v>2018</v>
      </c>
      <c r="H181" s="120">
        <v>2019</v>
      </c>
      <c r="I181" s="120">
        <v>2020</v>
      </c>
      <c r="J181" s="120">
        <v>2021</v>
      </c>
    </row>
    <row r="182" spans="2:18">
      <c r="B182" s="119" t="s">
        <v>34</v>
      </c>
      <c r="C182" s="221">
        <f>+'ESTADOS FINANCIEROS'!C96+'ESTADOS FINANCIEROS'!C99</f>
        <v>60400</v>
      </c>
      <c r="D182" s="221">
        <f>+'ESTADOS FINANCIEROS'!D96+'ESTADOS FINANCIEROS'!D99</f>
        <v>60480</v>
      </c>
      <c r="E182" s="221">
        <f>+'ESTADOS FINANCIEROS'!E96+'ESTADOS FINANCIEROS'!E99</f>
        <v>63504</v>
      </c>
      <c r="F182" s="221">
        <f>+'ESTADOS FINANCIEROS'!F96+'ESTADOS FINANCIEROS'!F99</f>
        <v>66679.200000000012</v>
      </c>
      <c r="G182" s="221">
        <f>+'ESTADOS FINANCIEROS'!G96+'ESTADOS FINANCIEROS'!G99</f>
        <v>70013.16</v>
      </c>
      <c r="H182" s="221">
        <f>+'ESTADOS FINANCIEROS'!H96+'ESTADOS FINANCIEROS'!H99</f>
        <v>73513.818000000014</v>
      </c>
      <c r="I182" s="221">
        <f>+'ESTADOS FINANCIEROS'!I96+'ESTADOS FINANCIEROS'!I99</f>
        <v>77189.508900000015</v>
      </c>
      <c r="J182" s="221">
        <f>+'ESTADOS FINANCIEROS'!J96+'ESTADOS FINANCIEROS'!J99</f>
        <v>81048.984345000019</v>
      </c>
    </row>
    <row r="183" spans="2:18">
      <c r="B183" s="119" t="s">
        <v>40</v>
      </c>
      <c r="C183" s="221">
        <f>+'ESTADOS FINANCIEROS'!C105</f>
        <v>14870</v>
      </c>
      <c r="D183" s="221">
        <f>+'ESTADOS FINANCIEROS'!D105</f>
        <v>18755</v>
      </c>
      <c r="E183" s="221">
        <f>+'ESTADOS FINANCIEROS'!E105</f>
        <v>20495.75</v>
      </c>
      <c r="F183" s="221">
        <f>+'ESTADOS FINANCIEROS'!F105</f>
        <v>21972.297500000001</v>
      </c>
      <c r="G183" s="221">
        <f>+'ESTADOS FINANCIEROS'!G105</f>
        <v>23779.486775000001</v>
      </c>
      <c r="H183" s="221">
        <f>+'ESTADOS FINANCIEROS'!H105</f>
        <v>26713.448249750003</v>
      </c>
      <c r="I183" s="221">
        <f>+'ESTADOS FINANCIEROS'!I105</f>
        <v>34599.742138077498</v>
      </c>
      <c r="J183" s="221">
        <f>+'ESTADOS FINANCIEROS'!J105</f>
        <v>43889.484170190975</v>
      </c>
    </row>
  </sheetData>
  <mergeCells count="40">
    <mergeCell ref="C175:C177"/>
    <mergeCell ref="L175:L177"/>
    <mergeCell ref="C7:I7"/>
    <mergeCell ref="C20:I20"/>
    <mergeCell ref="C33:I33"/>
    <mergeCell ref="C46:I46"/>
    <mergeCell ref="C59:I59"/>
    <mergeCell ref="C72:I72"/>
    <mergeCell ref="C85:I85"/>
    <mergeCell ref="C98:I98"/>
    <mergeCell ref="C167:I167"/>
    <mergeCell ref="L167:R167"/>
    <mergeCell ref="C169:C171"/>
    <mergeCell ref="L169:L171"/>
    <mergeCell ref="C173:I173"/>
    <mergeCell ref="L173:R173"/>
    <mergeCell ref="C157:C159"/>
    <mergeCell ref="L157:L159"/>
    <mergeCell ref="C161:I161"/>
    <mergeCell ref="L161:R161"/>
    <mergeCell ref="C163:C165"/>
    <mergeCell ref="L163:L165"/>
    <mergeCell ref="C149:I149"/>
    <mergeCell ref="L149:R149"/>
    <mergeCell ref="C151:C153"/>
    <mergeCell ref="L151:L153"/>
    <mergeCell ref="C155:I155"/>
    <mergeCell ref="L155:R155"/>
    <mergeCell ref="C139:C141"/>
    <mergeCell ref="L139:L141"/>
    <mergeCell ref="C143:I143"/>
    <mergeCell ref="L143:R143"/>
    <mergeCell ref="C145:C147"/>
    <mergeCell ref="L145:L147"/>
    <mergeCell ref="C131:I131"/>
    <mergeCell ref="L131:R131"/>
    <mergeCell ref="C133:C135"/>
    <mergeCell ref="L133:L135"/>
    <mergeCell ref="C137:I137"/>
    <mergeCell ref="L137:R137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C3:K7"/>
  <sheetViews>
    <sheetView showGridLines="0" workbookViewId="0">
      <selection activeCell="C3" sqref="C3:K7"/>
    </sheetView>
  </sheetViews>
  <sheetFormatPr baseColWidth="10" defaultRowHeight="15"/>
  <cols>
    <col min="3" max="3" width="28.28515625" bestFit="1" customWidth="1"/>
    <col min="4" max="11" width="12" bestFit="1" customWidth="1"/>
  </cols>
  <sheetData>
    <row r="3" spans="3:11">
      <c r="C3" s="349" t="s">
        <v>293</v>
      </c>
      <c r="D3" s="349"/>
      <c r="E3" s="349"/>
      <c r="F3" s="349"/>
      <c r="G3" s="349"/>
      <c r="H3" s="349"/>
      <c r="I3" s="349"/>
      <c r="J3" s="349"/>
      <c r="K3" s="349"/>
    </row>
    <row r="4" spans="3:11" s="75" customFormat="1">
      <c r="C4" s="123"/>
      <c r="D4" s="123">
        <v>2014</v>
      </c>
      <c r="E4" s="123">
        <v>2015</v>
      </c>
      <c r="F4" s="123">
        <v>2016</v>
      </c>
      <c r="G4" s="123">
        <v>2017</v>
      </c>
      <c r="H4" s="123">
        <v>2018</v>
      </c>
      <c r="I4" s="123">
        <v>2019</v>
      </c>
      <c r="J4" s="123">
        <v>2020</v>
      </c>
      <c r="K4" s="123">
        <v>2021</v>
      </c>
    </row>
    <row r="5" spans="3:11">
      <c r="C5" s="296" t="s">
        <v>72</v>
      </c>
      <c r="D5" s="296">
        <v>15540</v>
      </c>
      <c r="E5" s="296">
        <v>18963</v>
      </c>
      <c r="F5" s="296">
        <v>21763.35</v>
      </c>
      <c r="G5" s="296">
        <v>22851.517499999998</v>
      </c>
      <c r="H5" s="296">
        <v>26036.143874999998</v>
      </c>
      <c r="I5" s="296">
        <v>27337.951068750004</v>
      </c>
      <c r="J5" s="296">
        <v>30956.209298437505</v>
      </c>
      <c r="K5" s="296">
        <v>32504.019763359382</v>
      </c>
    </row>
    <row r="6" spans="3:11" ht="15.75" thickBot="1">
      <c r="C6" s="297" t="s">
        <v>83</v>
      </c>
      <c r="D6" s="298">
        <v>7882.7012880000002</v>
      </c>
      <c r="E6" s="298">
        <v>8276.6879999999983</v>
      </c>
      <c r="F6" s="298">
        <v>9125.0485199999985</v>
      </c>
      <c r="G6" s="298">
        <v>9581.3009460000012</v>
      </c>
      <c r="H6" s="298">
        <v>10563.384292965004</v>
      </c>
      <c r="I6" s="298">
        <v>11091.553507613253</v>
      </c>
      <c r="J6" s="298">
        <v>12228.437742143611</v>
      </c>
      <c r="K6" s="298">
        <v>12839.859629250794</v>
      </c>
    </row>
    <row r="7" spans="3:11" ht="15.75" thickTop="1">
      <c r="C7" s="250" t="s">
        <v>294</v>
      </c>
      <c r="D7" s="299">
        <v>7657.2987119999998</v>
      </c>
      <c r="E7" s="299">
        <v>10686.312000000002</v>
      </c>
      <c r="F7" s="299">
        <v>12638.30148</v>
      </c>
      <c r="G7" s="299">
        <v>13270.216553999997</v>
      </c>
      <c r="H7" s="299">
        <v>15472.759582034994</v>
      </c>
      <c r="I7" s="299">
        <v>16246.397561136751</v>
      </c>
      <c r="J7" s="299">
        <v>18727.771556293894</v>
      </c>
      <c r="K7" s="299">
        <v>19664.160134108588</v>
      </c>
    </row>
  </sheetData>
  <mergeCells count="1">
    <mergeCell ref="C3:K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9</vt:i4>
      </vt:variant>
    </vt:vector>
  </HeadingPairs>
  <TitlesOfParts>
    <vt:vector size="9" baseType="lpstr">
      <vt:lpstr>ESTADOS FINANCIEROS</vt:lpstr>
      <vt:lpstr>PRESTAMO</vt:lpstr>
      <vt:lpstr>PRESUPUESTO MARKETING</vt:lpstr>
      <vt:lpstr>PRECIOS</vt:lpstr>
      <vt:lpstr>ASIENTOS CONTABLES</vt:lpstr>
      <vt:lpstr>MAYORIZACIÓN</vt:lpstr>
      <vt:lpstr>IMPORTACIÓN</vt:lpstr>
      <vt:lpstr>PUNTO DE EQUILIBRIO</vt:lpstr>
      <vt:lpstr>Hoja1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Roberto Echeverria</dc:creator>
  <cp:lastModifiedBy>Eduardo</cp:lastModifiedBy>
  <dcterms:created xsi:type="dcterms:W3CDTF">2013-10-24T16:37:43Z</dcterms:created>
  <dcterms:modified xsi:type="dcterms:W3CDTF">2013-11-11T02:18:43Z</dcterms:modified>
</cp:coreProperties>
</file>