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jurado\Desktop\RESPALDOS PEDRO MARTIN 23-07-2015\PEDRO MARTIN\RESPALDO\Pedro Martin\Tesis\"/>
    </mc:Choice>
  </mc:AlternateContent>
  <bookViews>
    <workbookView xWindow="0" yWindow="0" windowWidth="20490" windowHeight="7755" firstSheet="11" activeTab="14"/>
  </bookViews>
  <sheets>
    <sheet name="MANO DE OBRA" sheetId="1" r:id="rId1"/>
    <sheet name="LOGISTICA" sheetId="9" r:id="rId2"/>
    <sheet name="DETALLE RUBROS CONSTRUCTIVOS" sheetId="3" r:id="rId3"/>
    <sheet name="Cronograma Val. BOONKER" sheetId="4" r:id="rId4"/>
    <sheet name="Cronograma Val. TRADICIONAL" sheetId="5" r:id="rId5"/>
    <sheet name="FLUJO DE CAJA BOONKER REVISADO" sheetId="23" r:id="rId6"/>
    <sheet name="FC BOONKER EXTRA" sheetId="24" state="hidden" r:id="rId7"/>
    <sheet name="Flujo de caja sistema Boonker " sheetId="10" state="hidden" r:id="rId8"/>
    <sheet name="F caja sistema Boonk (año)" sheetId="20" state="hidden" r:id="rId9"/>
    <sheet name="FLUJO DE CAJA TRANDICIONAL REVI" sheetId="25" r:id="rId10"/>
    <sheet name="Flujo de caja sist tradicional" sheetId="19" state="hidden" r:id="rId11"/>
    <sheet name="COSTO OBRA GRIS" sheetId="8" r:id="rId12"/>
    <sheet name="COSTOS DIRECTOS" sheetId="7" r:id="rId13"/>
    <sheet name="F caja sist tradicional (año)" sheetId="22" state="hidden" r:id="rId14"/>
    <sheet name="PRESUPUESTO GENERAL" sheetId="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6" l="1"/>
  <c r="C35" i="6"/>
  <c r="C39" i="25"/>
  <c r="C41" i="25" s="1"/>
  <c r="C30" i="25"/>
  <c r="C33" i="23"/>
  <c r="C24" i="25"/>
  <c r="H15" i="25"/>
  <c r="G15" i="25"/>
  <c r="F15" i="25"/>
  <c r="E15" i="25"/>
  <c r="D15" i="25"/>
  <c r="H14" i="25"/>
  <c r="H16" i="25" s="1"/>
  <c r="G14" i="25"/>
  <c r="F14" i="25"/>
  <c r="E14" i="25"/>
  <c r="E16" i="25" s="1"/>
  <c r="D14" i="25"/>
  <c r="D16" i="25" s="1"/>
  <c r="B13" i="25"/>
  <c r="B12" i="25"/>
  <c r="H7" i="25"/>
  <c r="G7" i="25"/>
  <c r="F7" i="25"/>
  <c r="E7" i="25"/>
  <c r="D7" i="25"/>
  <c r="H17" i="25" l="1"/>
  <c r="G17" i="25"/>
  <c r="D17" i="25"/>
  <c r="D18" i="25" s="1"/>
  <c r="D20" i="25" s="1"/>
  <c r="D22" i="25" s="1"/>
  <c r="B14" i="25"/>
  <c r="F16" i="25"/>
  <c r="E17" i="25"/>
  <c r="E18" i="25" s="1"/>
  <c r="E20" i="25" s="1"/>
  <c r="E22" i="25" s="1"/>
  <c r="H18" i="25"/>
  <c r="H20" i="25" s="1"/>
  <c r="H22" i="25" s="1"/>
  <c r="H24" i="25" s="1"/>
  <c r="G16" i="25"/>
  <c r="G18" i="25" s="1"/>
  <c r="G20" i="25" s="1"/>
  <c r="G22" i="25" s="1"/>
  <c r="F17" i="25"/>
  <c r="C41" i="23"/>
  <c r="C61" i="23"/>
  <c r="H24" i="23"/>
  <c r="H30" i="23" s="1"/>
  <c r="C24" i="23"/>
  <c r="C39" i="23" s="1"/>
  <c r="C46" i="24"/>
  <c r="F39" i="24"/>
  <c r="F38" i="24"/>
  <c r="F37" i="24"/>
  <c r="F36" i="24"/>
  <c r="G34" i="24"/>
  <c r="G33" i="24" s="1"/>
  <c r="C37" i="24" s="1"/>
  <c r="C25" i="24"/>
  <c r="D17" i="24"/>
  <c r="E16" i="24"/>
  <c r="G15" i="24"/>
  <c r="F15" i="24"/>
  <c r="E15" i="24"/>
  <c r="D15" i="24"/>
  <c r="H15" i="24" s="1"/>
  <c r="G14" i="24"/>
  <c r="F14" i="24"/>
  <c r="E14" i="24"/>
  <c r="D14" i="24"/>
  <c r="D16" i="24" s="1"/>
  <c r="H13" i="24"/>
  <c r="B13" i="24"/>
  <c r="H12" i="24"/>
  <c r="B12" i="24"/>
  <c r="B14" i="24" s="1"/>
  <c r="H10" i="24"/>
  <c r="H7" i="24"/>
  <c r="G7" i="24"/>
  <c r="F7" i="24"/>
  <c r="E7" i="24"/>
  <c r="D7" i="24"/>
  <c r="H6" i="24"/>
  <c r="F56" i="23"/>
  <c r="F55" i="23"/>
  <c r="F54" i="23"/>
  <c r="F53" i="23"/>
  <c r="G15" i="23"/>
  <c r="F15" i="23"/>
  <c r="E15" i="23"/>
  <c r="D15" i="23"/>
  <c r="G14" i="23"/>
  <c r="F14" i="23"/>
  <c r="F16" i="23" s="1"/>
  <c r="E14" i="23"/>
  <c r="D14" i="23"/>
  <c r="H13" i="23"/>
  <c r="B13" i="23"/>
  <c r="H12" i="23"/>
  <c r="B12" i="23"/>
  <c r="H10" i="23"/>
  <c r="G7" i="23"/>
  <c r="F7" i="23"/>
  <c r="E7" i="23"/>
  <c r="D7" i="23"/>
  <c r="H6" i="23"/>
  <c r="H7" i="23" s="1"/>
  <c r="H39" i="25" l="1"/>
  <c r="H41" i="25" s="1"/>
  <c r="H30" i="25"/>
  <c r="F18" i="25"/>
  <c r="F20" i="25" s="1"/>
  <c r="F22" i="25" s="1"/>
  <c r="E24" i="25"/>
  <c r="G24" i="25"/>
  <c r="D24" i="25"/>
  <c r="F24" i="25"/>
  <c r="B14" i="23"/>
  <c r="C30" i="23"/>
  <c r="D18" i="24"/>
  <c r="D20" i="24" s="1"/>
  <c r="D22" i="24" s="1"/>
  <c r="H14" i="24"/>
  <c r="F16" i="24"/>
  <c r="F18" i="24" s="1"/>
  <c r="F20" i="24" s="1"/>
  <c r="E17" i="24"/>
  <c r="E18" i="24" s="1"/>
  <c r="E20" i="24" s="1"/>
  <c r="G16" i="24"/>
  <c r="G18" i="24" s="1"/>
  <c r="G20" i="24" s="1"/>
  <c r="G22" i="24" s="1"/>
  <c r="G25" i="24" s="1"/>
  <c r="G46" i="24" s="1"/>
  <c r="F17" i="24"/>
  <c r="G51" i="23"/>
  <c r="G50" i="23" s="1"/>
  <c r="C54" i="23" s="1"/>
  <c r="H14" i="23"/>
  <c r="H15" i="23"/>
  <c r="G16" i="23"/>
  <c r="G18" i="23" s="1"/>
  <c r="G20" i="23" s="1"/>
  <c r="G22" i="23" s="1"/>
  <c r="F17" i="23"/>
  <c r="F18" i="23" s="1"/>
  <c r="F20" i="23" s="1"/>
  <c r="F22" i="23" s="1"/>
  <c r="F24" i="23" s="1"/>
  <c r="D16" i="23"/>
  <c r="E16" i="23"/>
  <c r="D17" i="23"/>
  <c r="E17" i="23"/>
  <c r="R15" i="22"/>
  <c r="Q15" i="22"/>
  <c r="P15" i="22"/>
  <c r="P17" i="22" s="1"/>
  <c r="O15" i="22"/>
  <c r="N15" i="22"/>
  <c r="R14" i="22"/>
  <c r="R17" i="22" s="1"/>
  <c r="Q14" i="22"/>
  <c r="Q17" i="22" s="1"/>
  <c r="P14" i="22"/>
  <c r="P16" i="22" s="1"/>
  <c r="P18" i="22" s="1"/>
  <c r="O14" i="22"/>
  <c r="O16" i="22" s="1"/>
  <c r="N14" i="22"/>
  <c r="N16" i="22" s="1"/>
  <c r="R7" i="22"/>
  <c r="Q7" i="22"/>
  <c r="P7" i="22"/>
  <c r="O7" i="22"/>
  <c r="N7" i="22"/>
  <c r="M15" i="22"/>
  <c r="L15" i="22"/>
  <c r="K15" i="22"/>
  <c r="J15" i="22"/>
  <c r="I15" i="22"/>
  <c r="M14" i="22"/>
  <c r="L14" i="22"/>
  <c r="K14" i="22"/>
  <c r="J14" i="22"/>
  <c r="I14" i="22"/>
  <c r="M7" i="22"/>
  <c r="L7" i="22"/>
  <c r="K7" i="22"/>
  <c r="J7" i="22"/>
  <c r="I7" i="22"/>
  <c r="O15" i="20"/>
  <c r="N15" i="20"/>
  <c r="M15" i="20"/>
  <c r="L15" i="20"/>
  <c r="O14" i="20"/>
  <c r="O16" i="20" s="1"/>
  <c r="N14" i="20"/>
  <c r="M14" i="20"/>
  <c r="L14" i="20"/>
  <c r="O7" i="20"/>
  <c r="N7" i="20"/>
  <c r="M7" i="20"/>
  <c r="L7" i="20"/>
  <c r="K15" i="20"/>
  <c r="J15" i="20"/>
  <c r="I15" i="20"/>
  <c r="H15" i="20"/>
  <c r="K14" i="20"/>
  <c r="J14" i="20"/>
  <c r="J17" i="20" s="1"/>
  <c r="I14" i="20"/>
  <c r="I17" i="20" s="1"/>
  <c r="H14" i="20"/>
  <c r="K7" i="20"/>
  <c r="J7" i="20"/>
  <c r="I7" i="20"/>
  <c r="H7" i="20"/>
  <c r="C31" i="22"/>
  <c r="H15" i="22"/>
  <c r="G15" i="22"/>
  <c r="F15" i="22"/>
  <c r="E15" i="22"/>
  <c r="D15" i="22"/>
  <c r="H14" i="22"/>
  <c r="G14" i="22"/>
  <c r="F14" i="22"/>
  <c r="E14" i="22"/>
  <c r="D14" i="22"/>
  <c r="H7" i="22"/>
  <c r="G7" i="22"/>
  <c r="F7" i="22"/>
  <c r="E7" i="22"/>
  <c r="D7" i="22"/>
  <c r="C31" i="20"/>
  <c r="G15" i="20"/>
  <c r="F15" i="20"/>
  <c r="E15" i="20"/>
  <c r="D15" i="20"/>
  <c r="G14" i="20"/>
  <c r="F14" i="20"/>
  <c r="E14" i="20"/>
  <c r="D14" i="20"/>
  <c r="D16" i="20" s="1"/>
  <c r="G7" i="20"/>
  <c r="F7" i="20"/>
  <c r="E7" i="20"/>
  <c r="D7" i="20"/>
  <c r="E39" i="25" l="1"/>
  <c r="E41" i="25" s="1"/>
  <c r="E30" i="25"/>
  <c r="F39" i="25"/>
  <c r="F41" i="25" s="1"/>
  <c r="F30" i="25"/>
  <c r="D39" i="25"/>
  <c r="D41" i="25" s="1"/>
  <c r="D30" i="25"/>
  <c r="G30" i="25"/>
  <c r="G39" i="25"/>
  <c r="G41" i="25" s="1"/>
  <c r="F30" i="23"/>
  <c r="F39" i="23"/>
  <c r="F41" i="23" s="1"/>
  <c r="H16" i="23"/>
  <c r="E18" i="23"/>
  <c r="E20" i="23" s="1"/>
  <c r="E22" i="23" s="1"/>
  <c r="E24" i="23" s="1"/>
  <c r="G24" i="23"/>
  <c r="E24" i="24"/>
  <c r="E22" i="24"/>
  <c r="E25" i="24" s="1"/>
  <c r="F24" i="24"/>
  <c r="F22" i="24"/>
  <c r="F25" i="24" s="1"/>
  <c r="C49" i="24"/>
  <c r="C47" i="24"/>
  <c r="C48" i="24" s="1"/>
  <c r="C50" i="24" s="1"/>
  <c r="D24" i="24"/>
  <c r="D25" i="24" s="1"/>
  <c r="H17" i="24"/>
  <c r="H16" i="24"/>
  <c r="H18" i="24" s="1"/>
  <c r="D18" i="23"/>
  <c r="D20" i="23" s="1"/>
  <c r="D22" i="23" s="1"/>
  <c r="H17" i="23"/>
  <c r="N17" i="20"/>
  <c r="Q16" i="22"/>
  <c r="M16" i="22"/>
  <c r="O18" i="22"/>
  <c r="O20" i="22" s="1"/>
  <c r="O22" i="22" s="1"/>
  <c r="M17" i="20"/>
  <c r="K17" i="22"/>
  <c r="O17" i="22"/>
  <c r="Q18" i="22"/>
  <c r="Q20" i="22" s="1"/>
  <c r="Q22" i="22" s="1"/>
  <c r="P20" i="22"/>
  <c r="P22" i="22" s="1"/>
  <c r="R16" i="22"/>
  <c r="R18" i="22"/>
  <c r="R20" i="22" s="1"/>
  <c r="R22" i="22" s="1"/>
  <c r="R24" i="22" s="1"/>
  <c r="R31" i="22" s="1"/>
  <c r="N17" i="22"/>
  <c r="N18" i="22" s="1"/>
  <c r="N20" i="22" s="1"/>
  <c r="N22" i="22" s="1"/>
  <c r="L17" i="22"/>
  <c r="K16" i="22"/>
  <c r="K18" i="22" s="1"/>
  <c r="K20" i="22" s="1"/>
  <c r="K22" i="22" s="1"/>
  <c r="L16" i="22"/>
  <c r="L18" i="22" s="1"/>
  <c r="L20" i="22" s="1"/>
  <c r="L22" i="22" s="1"/>
  <c r="M17" i="22"/>
  <c r="I17" i="22"/>
  <c r="J17" i="22"/>
  <c r="I16" i="22"/>
  <c r="J16" i="22"/>
  <c r="D16" i="22"/>
  <c r="E16" i="22"/>
  <c r="F17" i="22"/>
  <c r="G16" i="22"/>
  <c r="D17" i="22"/>
  <c r="H17" i="22"/>
  <c r="E17" i="22"/>
  <c r="D17" i="20"/>
  <c r="D18" i="20" s="1"/>
  <c r="D20" i="20" s="1"/>
  <c r="D22" i="20" s="1"/>
  <c r="G16" i="20"/>
  <c r="G18" i="20" s="1"/>
  <c r="G20" i="20" s="1"/>
  <c r="G22" i="20" s="1"/>
  <c r="G24" i="20" s="1"/>
  <c r="G31" i="20" s="1"/>
  <c r="K16" i="20"/>
  <c r="K18" i="20" s="1"/>
  <c r="K20" i="20" s="1"/>
  <c r="K22" i="20" s="1"/>
  <c r="K24" i="20" s="1"/>
  <c r="K31" i="20" s="1"/>
  <c r="L16" i="20"/>
  <c r="F16" i="20"/>
  <c r="N16" i="20"/>
  <c r="N18" i="20" s="1"/>
  <c r="N20" i="20" s="1"/>
  <c r="N22" i="20" s="1"/>
  <c r="O18" i="20"/>
  <c r="O20" i="20" s="1"/>
  <c r="O22" i="20" s="1"/>
  <c r="O24" i="20" s="1"/>
  <c r="O31" i="20" s="1"/>
  <c r="M16" i="20"/>
  <c r="M18" i="20" s="1"/>
  <c r="M20" i="20" s="1"/>
  <c r="M22" i="20" s="1"/>
  <c r="L17" i="20"/>
  <c r="L18" i="20" s="1"/>
  <c r="L20" i="20" s="1"/>
  <c r="L22" i="20" s="1"/>
  <c r="H16" i="20"/>
  <c r="I16" i="20"/>
  <c r="I18" i="20" s="1"/>
  <c r="I20" i="20" s="1"/>
  <c r="I22" i="20" s="1"/>
  <c r="J16" i="20"/>
  <c r="J18" i="20" s="1"/>
  <c r="J20" i="20" s="1"/>
  <c r="J22" i="20" s="1"/>
  <c r="H17" i="20"/>
  <c r="H16" i="22"/>
  <c r="G17" i="22"/>
  <c r="F16" i="22"/>
  <c r="E17" i="20"/>
  <c r="F17" i="20"/>
  <c r="E16" i="20"/>
  <c r="C33" i="25" l="1"/>
  <c r="C31" i="25"/>
  <c r="C32" i="25" s="1"/>
  <c r="C34" i="25" s="1"/>
  <c r="G30" i="23"/>
  <c r="G39" i="23"/>
  <c r="G41" i="23" s="1"/>
  <c r="E30" i="23"/>
  <c r="E39" i="23"/>
  <c r="E41" i="23" s="1"/>
  <c r="H18" i="23"/>
  <c r="D24" i="23"/>
  <c r="D39" i="23" s="1"/>
  <c r="D41" i="23" s="1"/>
  <c r="C27" i="24"/>
  <c r="C28" i="24"/>
  <c r="F18" i="20"/>
  <c r="F20" i="20" s="1"/>
  <c r="F22" i="20" s="1"/>
  <c r="H18" i="22"/>
  <c r="H20" i="22" s="1"/>
  <c r="H22" i="22" s="1"/>
  <c r="H24" i="22" s="1"/>
  <c r="H31" i="22" s="1"/>
  <c r="M18" i="22"/>
  <c r="M20" i="22" s="1"/>
  <c r="M22" i="22" s="1"/>
  <c r="M24" i="22" s="1"/>
  <c r="M31" i="22" s="1"/>
  <c r="N23" i="22"/>
  <c r="N24" i="22" s="1"/>
  <c r="O23" i="22"/>
  <c r="O24" i="22" s="1"/>
  <c r="Q23" i="22"/>
  <c r="Q24" i="22"/>
  <c r="Q31" i="22" s="1"/>
  <c r="P23" i="22"/>
  <c r="P24" i="22" s="1"/>
  <c r="J18" i="22"/>
  <c r="J20" i="22" s="1"/>
  <c r="J22" i="22" s="1"/>
  <c r="J23" i="22" s="1"/>
  <c r="K23" i="22"/>
  <c r="K24" i="22" s="1"/>
  <c r="I18" i="22"/>
  <c r="I20" i="22" s="1"/>
  <c r="I22" i="22" s="1"/>
  <c r="L23" i="22"/>
  <c r="L24" i="22" s="1"/>
  <c r="L31" i="22" s="1"/>
  <c r="F18" i="22"/>
  <c r="F20" i="22" s="1"/>
  <c r="F22" i="22" s="1"/>
  <c r="F23" i="22" s="1"/>
  <c r="F24" i="22" s="1"/>
  <c r="E18" i="22"/>
  <c r="E20" i="22" s="1"/>
  <c r="E22" i="22" s="1"/>
  <c r="E23" i="22" s="1"/>
  <c r="E24" i="22" s="1"/>
  <c r="D18" i="22"/>
  <c r="D20" i="22" s="1"/>
  <c r="D22" i="22" s="1"/>
  <c r="D23" i="22" s="1"/>
  <c r="D24" i="22" s="1"/>
  <c r="G18" i="22"/>
  <c r="G20" i="22" s="1"/>
  <c r="G22" i="22" s="1"/>
  <c r="G23" i="22" s="1"/>
  <c r="G24" i="22" s="1"/>
  <c r="G31" i="22" s="1"/>
  <c r="H18" i="20"/>
  <c r="H20" i="20" s="1"/>
  <c r="H22" i="20" s="1"/>
  <c r="L23" i="20"/>
  <c r="L24" i="20" s="1"/>
  <c r="L31" i="20" s="1"/>
  <c r="M23" i="20"/>
  <c r="M24" i="20" s="1"/>
  <c r="M31" i="20" s="1"/>
  <c r="N23" i="20"/>
  <c r="N24" i="20" s="1"/>
  <c r="N31" i="20" s="1"/>
  <c r="H23" i="20"/>
  <c r="H24" i="20" s="1"/>
  <c r="H31" i="20" s="1"/>
  <c r="C34" i="20" s="1"/>
  <c r="I23" i="20"/>
  <c r="I24" i="20" s="1"/>
  <c r="I31" i="20" s="1"/>
  <c r="J23" i="20"/>
  <c r="J24" i="20"/>
  <c r="J31" i="20" s="1"/>
  <c r="F23" i="20"/>
  <c r="F24" i="20" s="1"/>
  <c r="D23" i="20"/>
  <c r="D24" i="20" s="1"/>
  <c r="E18" i="20"/>
  <c r="E20" i="20" s="1"/>
  <c r="E22" i="20" s="1"/>
  <c r="H15" i="19"/>
  <c r="H14" i="19"/>
  <c r="H17" i="19" s="1"/>
  <c r="H7" i="19"/>
  <c r="G15" i="19"/>
  <c r="C31" i="19"/>
  <c r="F15" i="19"/>
  <c r="E15" i="19"/>
  <c r="D15" i="19"/>
  <c r="F14" i="19"/>
  <c r="F16" i="19" s="1"/>
  <c r="E14" i="19"/>
  <c r="D14" i="19"/>
  <c r="G7" i="19"/>
  <c r="F7" i="19"/>
  <c r="E7" i="19"/>
  <c r="D7" i="19"/>
  <c r="C31" i="10"/>
  <c r="G14" i="10"/>
  <c r="F14" i="10"/>
  <c r="E14" i="10"/>
  <c r="D14" i="10"/>
  <c r="G15" i="10"/>
  <c r="E15" i="10"/>
  <c r="F15" i="10"/>
  <c r="D15" i="10"/>
  <c r="D30" i="23" l="1"/>
  <c r="C34" i="22"/>
  <c r="J24" i="22"/>
  <c r="C32" i="22"/>
  <c r="C33" i="22" s="1"/>
  <c r="C35" i="22" s="1"/>
  <c r="I23" i="22"/>
  <c r="I24" i="22" s="1"/>
  <c r="C32" i="20"/>
  <c r="C33" i="20" s="1"/>
  <c r="C35" i="20"/>
  <c r="E23" i="20"/>
  <c r="E24" i="20" s="1"/>
  <c r="H16" i="19"/>
  <c r="H18" i="19" s="1"/>
  <c r="H20" i="19" s="1"/>
  <c r="H22" i="19" s="1"/>
  <c r="H24" i="19" s="1"/>
  <c r="H31" i="19" s="1"/>
  <c r="G14" i="19"/>
  <c r="G17" i="19" s="1"/>
  <c r="D16" i="19"/>
  <c r="E16" i="19"/>
  <c r="D17" i="19"/>
  <c r="E17" i="19"/>
  <c r="F17" i="19"/>
  <c r="F18" i="19" s="1"/>
  <c r="F20" i="19" s="1"/>
  <c r="F22" i="19" s="1"/>
  <c r="C31" i="23" l="1"/>
  <c r="C32" i="23" s="1"/>
  <c r="D18" i="19"/>
  <c r="D20" i="19" s="1"/>
  <c r="D22" i="19" s="1"/>
  <c r="G16" i="19"/>
  <c r="G18" i="19" s="1"/>
  <c r="G20" i="19" s="1"/>
  <c r="G22" i="19" s="1"/>
  <c r="F23" i="19"/>
  <c r="F24" i="19" s="1"/>
  <c r="D23" i="19"/>
  <c r="D24" i="19" s="1"/>
  <c r="E18" i="19"/>
  <c r="E20" i="19" s="1"/>
  <c r="E22" i="19" s="1"/>
  <c r="C34" i="23" l="1"/>
  <c r="D60" i="23"/>
  <c r="D61" i="23" s="1"/>
  <c r="G23" i="19"/>
  <c r="G24" i="19" s="1"/>
  <c r="G31" i="19" s="1"/>
  <c r="C34" i="19" s="1"/>
  <c r="E23" i="19"/>
  <c r="E24" i="19" s="1"/>
  <c r="J23" i="6"/>
  <c r="J22" i="6"/>
  <c r="I23" i="6"/>
  <c r="E60" i="23" l="1"/>
  <c r="E61" i="23" s="1"/>
  <c r="F60" i="23" s="1"/>
  <c r="F61" i="23" s="1"/>
  <c r="G60" i="23" s="1"/>
  <c r="G61" i="23" s="1"/>
  <c r="C32" i="19"/>
  <c r="C33" i="19" s="1"/>
  <c r="C35" i="19" s="1"/>
  <c r="H12" i="10"/>
  <c r="H13" i="10"/>
  <c r="H10" i="10"/>
  <c r="H6" i="10"/>
  <c r="H7" i="10" l="1"/>
  <c r="H15" i="10"/>
  <c r="G7" i="10" l="1"/>
  <c r="H14" i="10" l="1"/>
  <c r="F16" i="10"/>
  <c r="F17" i="10"/>
  <c r="D17" i="10"/>
  <c r="D16" i="10"/>
  <c r="E16" i="10"/>
  <c r="E17" i="10"/>
  <c r="G16" i="10"/>
  <c r="G18" i="10" s="1"/>
  <c r="G20" i="10" s="1"/>
  <c r="G22" i="10" s="1"/>
  <c r="G24" i="10" s="1"/>
  <c r="D47" i="6"/>
  <c r="C47" i="6"/>
  <c r="H16" i="10" l="1"/>
  <c r="H17" i="10"/>
  <c r="E18" i="10"/>
  <c r="E7" i="10" s="1"/>
  <c r="E20" i="10" s="1"/>
  <c r="E22" i="10" s="1"/>
  <c r="F18" i="10"/>
  <c r="D18" i="10"/>
  <c r="D6" i="8"/>
  <c r="D7" i="8"/>
  <c r="D8" i="8"/>
  <c r="D9" i="8"/>
  <c r="D10" i="8"/>
  <c r="D11" i="8"/>
  <c r="D12" i="8"/>
  <c r="D5" i="8"/>
  <c r="D17" i="1"/>
  <c r="C17" i="1"/>
  <c r="D18" i="1"/>
  <c r="D28" i="1" s="1"/>
  <c r="C18" i="1"/>
  <c r="C28" i="1" s="1"/>
  <c r="D15" i="1"/>
  <c r="C15" i="1"/>
  <c r="B12" i="22" l="1"/>
  <c r="B12" i="20"/>
  <c r="B12" i="19"/>
  <c r="E23" i="10"/>
  <c r="E24" i="10" s="1"/>
  <c r="H18" i="10"/>
  <c r="D7" i="10"/>
  <c r="D20" i="10" s="1"/>
  <c r="D22" i="10" s="1"/>
  <c r="F7" i="10"/>
  <c r="F20" i="10" s="1"/>
  <c r="F22" i="10" s="1"/>
  <c r="B12" i="10"/>
  <c r="D23" i="10" l="1"/>
  <c r="D24" i="10"/>
  <c r="F23" i="10"/>
  <c r="F24" i="10" s="1"/>
  <c r="C29" i="9"/>
  <c r="B29" i="9"/>
  <c r="C28" i="9"/>
  <c r="B28" i="9"/>
  <c r="C27" i="9"/>
  <c r="B27" i="9"/>
  <c r="C26" i="9"/>
  <c r="C25" i="9"/>
  <c r="B26" i="9"/>
  <c r="B25" i="9"/>
  <c r="C30" i="9" l="1"/>
  <c r="D7" i="6" s="1"/>
  <c r="B18" i="5"/>
  <c r="B30" i="9"/>
  <c r="C13" i="8"/>
  <c r="C19" i="8" s="1"/>
  <c r="B13" i="8"/>
  <c r="D80" i="3"/>
  <c r="F80" i="3" s="1"/>
  <c r="D79" i="3"/>
  <c r="F79" i="3" s="1"/>
  <c r="I78" i="3"/>
  <c r="F78" i="3"/>
  <c r="I77" i="3"/>
  <c r="F77" i="3"/>
  <c r="D76" i="3"/>
  <c r="I76" i="3" s="1"/>
  <c r="I75" i="3"/>
  <c r="F75" i="3"/>
  <c r="I74" i="3"/>
  <c r="F74" i="3"/>
  <c r="I72" i="3"/>
  <c r="F72" i="3"/>
  <c r="I71" i="3"/>
  <c r="F71" i="3"/>
  <c r="D70" i="3"/>
  <c r="I70" i="3" s="1"/>
  <c r="D69" i="3"/>
  <c r="I69" i="3" s="1"/>
  <c r="I67" i="3"/>
  <c r="J66" i="3" s="1"/>
  <c r="K14" i="5" s="1"/>
  <c r="P14" i="5" s="1"/>
  <c r="F67" i="3"/>
  <c r="I65" i="3"/>
  <c r="F65" i="3"/>
  <c r="H64" i="3"/>
  <c r="I64" i="3" s="1"/>
  <c r="F64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0" i="3"/>
  <c r="F50" i="3"/>
  <c r="I49" i="3"/>
  <c r="F49" i="3"/>
  <c r="I47" i="3"/>
  <c r="F47" i="3"/>
  <c r="H46" i="3"/>
  <c r="I46" i="3" s="1"/>
  <c r="E46" i="3"/>
  <c r="F46" i="3" s="1"/>
  <c r="I45" i="3"/>
  <c r="F45" i="3"/>
  <c r="I44" i="3"/>
  <c r="F44" i="3"/>
  <c r="K44" i="3" s="1"/>
  <c r="I43" i="3"/>
  <c r="F43" i="3"/>
  <c r="I42" i="3"/>
  <c r="E42" i="3"/>
  <c r="F42" i="3" s="1"/>
  <c r="H41" i="3"/>
  <c r="I41" i="3" s="1"/>
  <c r="F41" i="3"/>
  <c r="I39" i="3"/>
  <c r="F39" i="3"/>
  <c r="I38" i="3"/>
  <c r="F38" i="3"/>
  <c r="I37" i="3"/>
  <c r="I9" i="5" s="1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29" i="3"/>
  <c r="F29" i="3"/>
  <c r="I28" i="3"/>
  <c r="F28" i="3"/>
  <c r="I27" i="3"/>
  <c r="F27" i="3"/>
  <c r="I26" i="3"/>
  <c r="F26" i="3"/>
  <c r="I25" i="3"/>
  <c r="F25" i="3"/>
  <c r="H23" i="3"/>
  <c r="D23" i="3"/>
  <c r="I22" i="3"/>
  <c r="F22" i="3"/>
  <c r="I21" i="3"/>
  <c r="F21" i="3"/>
  <c r="I20" i="3"/>
  <c r="F20" i="3"/>
  <c r="I19" i="3"/>
  <c r="E19" i="3"/>
  <c r="F19" i="3" s="1"/>
  <c r="I18" i="3"/>
  <c r="F18" i="3"/>
  <c r="I17" i="3"/>
  <c r="F17" i="3"/>
  <c r="I16" i="3"/>
  <c r="F16" i="3"/>
  <c r="I15" i="3"/>
  <c r="F15" i="3"/>
  <c r="I13" i="3"/>
  <c r="K6" i="5" s="1"/>
  <c r="F13" i="3"/>
  <c r="G6" i="4" s="1"/>
  <c r="I12" i="3"/>
  <c r="D6" i="5" s="1"/>
  <c r="D19" i="5" s="1"/>
  <c r="F12" i="3"/>
  <c r="I11" i="3"/>
  <c r="C6" i="5" s="1"/>
  <c r="F11" i="3"/>
  <c r="I9" i="3"/>
  <c r="K5" i="5" s="1"/>
  <c r="F9" i="3"/>
  <c r="H5" i="4" s="1"/>
  <c r="D8" i="3"/>
  <c r="I8" i="3" s="1"/>
  <c r="C5" i="5" s="1"/>
  <c r="I7" i="3"/>
  <c r="E5" i="5" s="1"/>
  <c r="F7" i="3"/>
  <c r="C10" i="9"/>
  <c r="B10" i="9"/>
  <c r="D14" i="1"/>
  <c r="C14" i="1"/>
  <c r="D13" i="1"/>
  <c r="C13" i="1"/>
  <c r="D4" i="1"/>
  <c r="C4" i="1"/>
  <c r="K43" i="3" l="1"/>
  <c r="B13" i="22"/>
  <c r="B14" i="22" s="1"/>
  <c r="B13" i="20"/>
  <c r="B14" i="20" s="1"/>
  <c r="B13" i="19"/>
  <c r="B14" i="19" s="1"/>
  <c r="H9" i="5"/>
  <c r="K38" i="3"/>
  <c r="G31" i="10"/>
  <c r="C34" i="10" s="1"/>
  <c r="G63" i="3"/>
  <c r="B13" i="4" s="1"/>
  <c r="H13" i="4" s="1"/>
  <c r="M13" i="4" s="1"/>
  <c r="N13" i="4" s="1"/>
  <c r="K67" i="3"/>
  <c r="K71" i="3"/>
  <c r="K74" i="3"/>
  <c r="D18" i="7"/>
  <c r="I79" i="3"/>
  <c r="K41" i="3"/>
  <c r="I80" i="3"/>
  <c r="K80" i="3" s="1"/>
  <c r="B13" i="10"/>
  <c r="C7" i="6"/>
  <c r="C18" i="7"/>
  <c r="B18" i="4"/>
  <c r="H18" i="4" s="1"/>
  <c r="K47" i="3"/>
  <c r="K50" i="3"/>
  <c r="K61" i="3"/>
  <c r="K65" i="3"/>
  <c r="K72" i="3"/>
  <c r="D13" i="8"/>
  <c r="B19" i="8"/>
  <c r="K36" i="3"/>
  <c r="K49" i="3"/>
  <c r="G48" i="3"/>
  <c r="K52" i="3"/>
  <c r="K56" i="3"/>
  <c r="K58" i="3"/>
  <c r="K60" i="3"/>
  <c r="F8" i="3"/>
  <c r="G6" i="3" s="1"/>
  <c r="K59" i="3"/>
  <c r="K37" i="3"/>
  <c r="K45" i="3"/>
  <c r="J63" i="3"/>
  <c r="D13" i="7" s="1"/>
  <c r="K77" i="3"/>
  <c r="K26" i="3"/>
  <c r="K25" i="3"/>
  <c r="K27" i="3"/>
  <c r="K29" i="3"/>
  <c r="K32" i="3"/>
  <c r="K33" i="3"/>
  <c r="K35" i="3"/>
  <c r="K46" i="3"/>
  <c r="G66" i="3"/>
  <c r="J51" i="3"/>
  <c r="B12" i="5" s="1"/>
  <c r="K53" i="3"/>
  <c r="K55" i="3"/>
  <c r="K75" i="3"/>
  <c r="K79" i="3"/>
  <c r="K78" i="3"/>
  <c r="D14" i="7"/>
  <c r="K64" i="3"/>
  <c r="K54" i="3"/>
  <c r="K57" i="3"/>
  <c r="K62" i="3"/>
  <c r="J48" i="3"/>
  <c r="D11" i="7" s="1"/>
  <c r="G40" i="3"/>
  <c r="J30" i="3"/>
  <c r="B9" i="5" s="1"/>
  <c r="F9" i="5"/>
  <c r="P9" i="5" s="1"/>
  <c r="K31" i="3"/>
  <c r="G30" i="3"/>
  <c r="K39" i="3"/>
  <c r="K16" i="3"/>
  <c r="K18" i="3"/>
  <c r="N12" i="5"/>
  <c r="N19" i="5" s="1"/>
  <c r="J40" i="3"/>
  <c r="J68" i="3"/>
  <c r="K42" i="3"/>
  <c r="G51" i="3"/>
  <c r="F69" i="3"/>
  <c r="F70" i="3"/>
  <c r="K70" i="3" s="1"/>
  <c r="F76" i="3"/>
  <c r="D9" i="7"/>
  <c r="K34" i="3"/>
  <c r="B14" i="5"/>
  <c r="Q14" i="5" s="1"/>
  <c r="K19" i="3"/>
  <c r="K21" i="3"/>
  <c r="I23" i="3"/>
  <c r="G7" i="5" s="1"/>
  <c r="K28" i="3"/>
  <c r="G24" i="3"/>
  <c r="F7" i="5"/>
  <c r="E7" i="5"/>
  <c r="K17" i="3"/>
  <c r="K20" i="3"/>
  <c r="K22" i="3"/>
  <c r="G10" i="3"/>
  <c r="K13" i="3"/>
  <c r="J10" i="3"/>
  <c r="B6" i="5" s="1"/>
  <c r="P6" i="5"/>
  <c r="K7" i="3"/>
  <c r="P5" i="5"/>
  <c r="J24" i="3"/>
  <c r="K15" i="3"/>
  <c r="F23" i="3"/>
  <c r="K12" i="3"/>
  <c r="K11" i="3"/>
  <c r="C6" i="4"/>
  <c r="M6" i="4" s="1"/>
  <c r="C19" i="5"/>
  <c r="J6" i="3"/>
  <c r="K9" i="3"/>
  <c r="E5" i="4"/>
  <c r="C13" i="7" l="1"/>
  <c r="E18" i="7"/>
  <c r="J73" i="3"/>
  <c r="B16" i="5" s="1"/>
  <c r="C32" i="10"/>
  <c r="C33" i="10" s="1"/>
  <c r="C35" i="10" s="1"/>
  <c r="C10" i="7"/>
  <c r="C14" i="7"/>
  <c r="E14" i="7" s="1"/>
  <c r="C5" i="4"/>
  <c r="C19" i="4" s="1"/>
  <c r="K8" i="3"/>
  <c r="E13" i="7"/>
  <c r="C8" i="7"/>
  <c r="B8" i="4"/>
  <c r="E8" i="4" s="1"/>
  <c r="B11" i="4"/>
  <c r="I11" i="4" s="1"/>
  <c r="I19" i="4" s="1"/>
  <c r="L48" i="3"/>
  <c r="M48" i="3" s="1"/>
  <c r="C6" i="7"/>
  <c r="B13" i="5"/>
  <c r="L30" i="3"/>
  <c r="M30" i="3" s="1"/>
  <c r="B10" i="4"/>
  <c r="H10" i="4" s="1"/>
  <c r="M10" i="4" s="1"/>
  <c r="N10" i="4" s="1"/>
  <c r="B14" i="4"/>
  <c r="K14" i="4" s="1"/>
  <c r="M14" i="4" s="1"/>
  <c r="N14" i="4" s="1"/>
  <c r="C11" i="7"/>
  <c r="D5" i="4"/>
  <c r="D19" i="4" s="1"/>
  <c r="M12" i="5"/>
  <c r="M19" i="5" s="1"/>
  <c r="L63" i="3"/>
  <c r="M63" i="3" s="1"/>
  <c r="J14" i="3"/>
  <c r="D16" i="7"/>
  <c r="L11" i="5"/>
  <c r="L19" i="5" s="1"/>
  <c r="D12" i="7"/>
  <c r="K13" i="5"/>
  <c r="P13" i="5" s="1"/>
  <c r="Q13" i="5" s="1"/>
  <c r="B6" i="4"/>
  <c r="N6" i="4" s="1"/>
  <c r="O16" i="5"/>
  <c r="O19" i="5" s="1"/>
  <c r="B11" i="5"/>
  <c r="Q9" i="5"/>
  <c r="E11" i="7"/>
  <c r="C9" i="7"/>
  <c r="E9" i="7" s="1"/>
  <c r="L66" i="3"/>
  <c r="M66" i="3" s="1"/>
  <c r="D6" i="6"/>
  <c r="D17" i="7"/>
  <c r="B17" i="5"/>
  <c r="F17" i="5" s="1"/>
  <c r="B9" i="4"/>
  <c r="F9" i="4" s="1"/>
  <c r="M9" i="4" s="1"/>
  <c r="N9" i="4" s="1"/>
  <c r="D6" i="7"/>
  <c r="E6" i="7" s="1"/>
  <c r="P7" i="5"/>
  <c r="Q6" i="5"/>
  <c r="B10" i="5"/>
  <c r="J10" i="5"/>
  <c r="P10" i="5" s="1"/>
  <c r="D10" i="7"/>
  <c r="P11" i="5"/>
  <c r="K23" i="3"/>
  <c r="K69" i="3"/>
  <c r="G68" i="3"/>
  <c r="P16" i="5"/>
  <c r="Q16" i="5" s="1"/>
  <c r="L40" i="3"/>
  <c r="M40" i="3" s="1"/>
  <c r="K76" i="3"/>
  <c r="G73" i="3"/>
  <c r="L51" i="3"/>
  <c r="M51" i="3" s="1"/>
  <c r="C12" i="7"/>
  <c r="B12" i="4"/>
  <c r="J12" i="4" s="1"/>
  <c r="K15" i="5"/>
  <c r="P15" i="5" s="1"/>
  <c r="D15" i="7"/>
  <c r="B15" i="5"/>
  <c r="L10" i="3"/>
  <c r="M10" i="3" s="1"/>
  <c r="F8" i="4"/>
  <c r="B8" i="5"/>
  <c r="D8" i="7"/>
  <c r="L24" i="3"/>
  <c r="M24" i="3" s="1"/>
  <c r="G14" i="3"/>
  <c r="B7" i="5"/>
  <c r="D7" i="7"/>
  <c r="J81" i="3"/>
  <c r="D5" i="7"/>
  <c r="B5" i="5"/>
  <c r="Q5" i="5" s="1"/>
  <c r="B5" i="4"/>
  <c r="L6" i="3"/>
  <c r="M6" i="3" s="1"/>
  <c r="C5" i="7"/>
  <c r="E5" i="7" s="1"/>
  <c r="E18" i="4"/>
  <c r="F18" i="4"/>
  <c r="G18" i="4"/>
  <c r="H18" i="5"/>
  <c r="G18" i="5"/>
  <c r="K18" i="5"/>
  <c r="F18" i="5"/>
  <c r="J18" i="5"/>
  <c r="E18" i="5"/>
  <c r="I18" i="5"/>
  <c r="M11" i="4" l="1"/>
  <c r="N11" i="4" s="1"/>
  <c r="E10" i="7"/>
  <c r="E12" i="7"/>
  <c r="E8" i="7"/>
  <c r="M5" i="4"/>
  <c r="P12" i="5"/>
  <c r="Q12" i="5" s="1"/>
  <c r="Q11" i="5"/>
  <c r="Q7" i="5"/>
  <c r="E17" i="5"/>
  <c r="G17" i="5"/>
  <c r="G19" i="5" s="1"/>
  <c r="H17" i="5"/>
  <c r="H19" i="5" s="1"/>
  <c r="J17" i="5"/>
  <c r="J19" i="5" s="1"/>
  <c r="K17" i="5"/>
  <c r="K19" i="5" s="1"/>
  <c r="I17" i="5"/>
  <c r="I19" i="5" s="1"/>
  <c r="C6" i="6"/>
  <c r="C17" i="7"/>
  <c r="E17" i="7" s="1"/>
  <c r="B17" i="4"/>
  <c r="Q10" i="5"/>
  <c r="L68" i="3"/>
  <c r="M68" i="3" s="1"/>
  <c r="B15" i="4"/>
  <c r="K15" i="4" s="1"/>
  <c r="C15" i="7"/>
  <c r="E15" i="7" s="1"/>
  <c r="G81" i="3"/>
  <c r="C4" i="6" s="1"/>
  <c r="J19" i="4"/>
  <c r="M12" i="4"/>
  <c r="N12" i="4" s="1"/>
  <c r="C16" i="7"/>
  <c r="E16" i="7" s="1"/>
  <c r="B16" i="4"/>
  <c r="L16" i="4" s="1"/>
  <c r="L73" i="3"/>
  <c r="M73" i="3" s="1"/>
  <c r="N5" i="4"/>
  <c r="D19" i="7"/>
  <c r="D25" i="7" s="1"/>
  <c r="M8" i="4"/>
  <c r="N8" i="4" s="1"/>
  <c r="F8" i="5"/>
  <c r="F19" i="5" s="1"/>
  <c r="E8" i="5"/>
  <c r="B7" i="4"/>
  <c r="L14" i="3"/>
  <c r="M14" i="3" s="1"/>
  <c r="C7" i="7"/>
  <c r="E7" i="7" s="1"/>
  <c r="B19" i="5"/>
  <c r="D4" i="6"/>
  <c r="M18" i="4"/>
  <c r="P18" i="5"/>
  <c r="Q18" i="5" s="1"/>
  <c r="B14" i="10" l="1"/>
  <c r="P17" i="5"/>
  <c r="Q17" i="5" s="1"/>
  <c r="L81" i="3"/>
  <c r="M81" i="3" s="1"/>
  <c r="L19" i="4"/>
  <c r="M16" i="4"/>
  <c r="M15" i="4"/>
  <c r="N15" i="4" s="1"/>
  <c r="K19" i="4"/>
  <c r="P8" i="5"/>
  <c r="E19" i="5"/>
  <c r="E7" i="4"/>
  <c r="G7" i="4"/>
  <c r="C5" i="6"/>
  <c r="C8" i="6" s="1"/>
  <c r="D5" i="6"/>
  <c r="D8" i="6" s="1"/>
  <c r="C19" i="7"/>
  <c r="F17" i="4"/>
  <c r="F19" i="4" s="1"/>
  <c r="B19" i="4"/>
  <c r="H17" i="4"/>
  <c r="H19" i="4" s="1"/>
  <c r="G17" i="4"/>
  <c r="E17" i="4"/>
  <c r="G19" i="4" l="1"/>
  <c r="C25" i="7"/>
  <c r="E19" i="7"/>
  <c r="Q8" i="5"/>
  <c r="P19" i="5"/>
  <c r="M7" i="4"/>
  <c r="N7" i="4" s="1"/>
  <c r="D10" i="6"/>
  <c r="D9" i="6"/>
  <c r="C9" i="6"/>
  <c r="C10" i="6"/>
  <c r="M17" i="4"/>
  <c r="E19" i="4"/>
  <c r="D11" i="6" l="1"/>
  <c r="D13" i="6" s="1"/>
  <c r="D24" i="6" s="1"/>
  <c r="C11" i="6"/>
  <c r="N17" i="4"/>
  <c r="M19" i="4"/>
  <c r="C13" i="6" l="1"/>
  <c r="C24" i="6" s="1"/>
  <c r="C30" i="6" s="1"/>
  <c r="C25" i="6" l="1"/>
  <c r="C39" i="6"/>
  <c r="D25" i="6"/>
  <c r="D30" i="6"/>
  <c r="C32" i="6" l="1"/>
  <c r="D32" i="6"/>
  <c r="D39" i="6"/>
  <c r="C33" i="6" l="1"/>
  <c r="C34" i="6" s="1"/>
  <c r="C36" i="6" s="1"/>
  <c r="D33" i="6"/>
  <c r="D34" i="6"/>
  <c r="D36" i="6" l="1"/>
  <c r="C48" i="6"/>
  <c r="C49" i="6" s="1"/>
  <c r="C51" i="6" s="1"/>
  <c r="C37" i="6"/>
  <c r="C38" i="6"/>
  <c r="D48" i="6" l="1"/>
  <c r="D49" i="6" s="1"/>
  <c r="D51" i="6" s="1"/>
  <c r="D37" i="6"/>
  <c r="D38" i="6"/>
</calcChain>
</file>

<file path=xl/sharedStrings.xml><?xml version="1.0" encoding="utf-8"?>
<sst xmlns="http://schemas.openxmlformats.org/spreadsheetml/2006/main" count="760" uniqueCount="258">
  <si>
    <t>PRESUPUESTO GENERAL</t>
  </si>
  <si>
    <t>Concepto</t>
  </si>
  <si>
    <t xml:space="preserve"> unidad     </t>
  </si>
  <si>
    <t>Cantidad</t>
  </si>
  <si>
    <t xml:space="preserve">P.unitario  </t>
  </si>
  <si>
    <t>TOTAL</t>
  </si>
  <si>
    <t>Parcial</t>
  </si>
  <si>
    <t>glb</t>
  </si>
  <si>
    <t>ml</t>
  </si>
  <si>
    <t>m2</t>
  </si>
  <si>
    <t>MOVIMIENTO DE TIERRAS</t>
  </si>
  <si>
    <t>m3</t>
  </si>
  <si>
    <t>kg</t>
  </si>
  <si>
    <t>u</t>
  </si>
  <si>
    <t>m</t>
  </si>
  <si>
    <t xml:space="preserve">Mamposteria  de bloque .10  </t>
  </si>
  <si>
    <t>Mamposteria de bloque .20</t>
  </si>
  <si>
    <t>Colocación de cajetines</t>
  </si>
  <si>
    <t>Barrederas</t>
  </si>
  <si>
    <t>Muebles bajos de cocina en MDF</t>
  </si>
  <si>
    <t>Muebles altos de cocina en MDF</t>
  </si>
  <si>
    <t>ACABADOS INTERIORES</t>
  </si>
  <si>
    <t>Rubro</t>
  </si>
  <si>
    <t>Total</t>
  </si>
  <si>
    <t>Cerámica pared</t>
  </si>
  <si>
    <t>Piso de ceramica</t>
  </si>
  <si>
    <t>Fregadero de cocina 1 pozo</t>
  </si>
  <si>
    <t>Cronograma Valorado BOONKER</t>
  </si>
  <si>
    <t>Cronograma Valorado CONVENCIONAL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</si>
  <si>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</si>
  <si>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</si>
  <si>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</si>
  <si>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</si>
  <si>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</si>
  <si>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</si>
  <si>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</si>
  <si>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</si>
  <si>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</si>
  <si>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</si>
  <si>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</si>
  <si>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</si>
  <si>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</si>
  <si>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Instalaciones Preliminares agua, bano y luz</t>
  </si>
  <si>
    <t>glo.</t>
  </si>
  <si>
    <t>Replanteo</t>
  </si>
  <si>
    <t>Limpieza final del terreno</t>
  </si>
  <si>
    <t>Relleno y reconformacion con lastre</t>
  </si>
  <si>
    <t>Desalojo de material de excavacion</t>
  </si>
  <si>
    <t>Excavación de suelo normal en seco para cimentacion</t>
  </si>
  <si>
    <t>Replantillo de hormigon simple</t>
  </si>
  <si>
    <t>Malla electrosoldada para losa de cimentacion 4,5mm</t>
  </si>
  <si>
    <t>Hormigón de vigas de cimentacion 210kg/cm2 h=30cm
cretera .vibrador.encofrado</t>
  </si>
  <si>
    <t>Hormigon de losa de cimentacion 210kg/cm2 h=10cm</t>
  </si>
  <si>
    <t>Encofrado perimetral de losa de cimentacion</t>
  </si>
  <si>
    <t>Acero de refuerzo-en losa de cimentación  fy 4200 kg/cm2 10-12mm (alambre galvanizado #18)</t>
  </si>
  <si>
    <t>Hormigon Ciclopeo de 180kg/cm2</t>
  </si>
  <si>
    <t>Acero de refuerzo en columnas 210kg/cm2 seccion 25x25</t>
  </si>
  <si>
    <t>Hormigon en columnas de cimentacion (incluye encofrado)</t>
  </si>
  <si>
    <t>Acero estructural perfiles G, e=3mm</t>
  </si>
  <si>
    <t>Hormingon simple de 210kg/cm2, Deck metalico (incluye montaje)</t>
  </si>
  <si>
    <t>Masillado y alisado de pisos (de cubierta)</t>
  </si>
  <si>
    <t>Enlucido de paredes interiores incluye andamios</t>
  </si>
  <si>
    <t>Enlucido  de paredes exteriores incluye andamios</t>
  </si>
  <si>
    <t>Enlucido Filos y Fajas</t>
  </si>
  <si>
    <t>Enlucido  de paredes exteriores incluye andamios con Enlumax</t>
  </si>
  <si>
    <t>Enlucido de paredes interiores incluye andamios con Enlumax</t>
  </si>
  <si>
    <t>Puertas interiores  dormitorios incluye tapa marcos</t>
  </si>
  <si>
    <t>Puertas interiores banos incluye tapa marcos</t>
  </si>
  <si>
    <t xml:space="preserve">Puerta Principal </t>
  </si>
  <si>
    <t>Closets dormitorios</t>
  </si>
  <si>
    <t>Cerraduras dormitorios</t>
  </si>
  <si>
    <t>Cerraduras banos</t>
  </si>
  <si>
    <t>Cerradura puerta principal</t>
  </si>
  <si>
    <t>Dinteles de estructura metalica perfil G + malla exagonal</t>
  </si>
  <si>
    <t>Enlucido de Dinteles y vigas</t>
  </si>
  <si>
    <t>Cajonera muebles de cocina</t>
  </si>
  <si>
    <t>Ventana corrediza de alumunio, e=4mm</t>
  </si>
  <si>
    <t>Estucado  y pintura  interior</t>
  </si>
  <si>
    <t>Estucado y Pintura exterior</t>
  </si>
  <si>
    <t>Picado y corchado</t>
  </si>
  <si>
    <t>Manguera Poliet 3/4"x100m</t>
  </si>
  <si>
    <t>Griferia de Lavamanos  + mezcladora</t>
  </si>
  <si>
    <t>Griferia de cocina + mezcladora</t>
  </si>
  <si>
    <t>Griferia de Ducha de baño + mezcladora</t>
  </si>
  <si>
    <t>Lavamanos e inodoro</t>
  </si>
  <si>
    <t>Accesorio inodoro</t>
  </si>
  <si>
    <t>Instalaciones Sanitarias tipo</t>
  </si>
  <si>
    <t xml:space="preserve">Instalaciones electricas tipo acabados </t>
  </si>
  <si>
    <t>adjuntar presupuesto estiado de construccion</t>
  </si>
  <si>
    <t>IVA</t>
  </si>
  <si>
    <t>Mamposteria BOONKER (sistema armado) 37,5x12,5x15cm</t>
  </si>
  <si>
    <t>Viga de hormigon 240kg/cm2 (incluye encofrado)</t>
  </si>
  <si>
    <t>Hormingon simple para cubierta</t>
  </si>
  <si>
    <t>Malla electrosoldada para cubierta 4,5mm</t>
  </si>
  <si>
    <t>Encofrado de losa</t>
  </si>
  <si>
    <t>RUBROS CONSTRUCTIVOS</t>
  </si>
  <si>
    <t>Gypsum</t>
  </si>
  <si>
    <t>Acero de refuerzo vertical de 12mm</t>
  </si>
  <si>
    <t>Anclajes verticales de varrilla con Epoxico</t>
  </si>
  <si>
    <t>V x rubro</t>
  </si>
  <si>
    <t>Dif Porcentual</t>
  </si>
  <si>
    <t xml:space="preserve">NUMERO DE TRABAJADORES REQUERIDOS </t>
  </si>
  <si>
    <t>Fuente: Elaboración propia</t>
  </si>
  <si>
    <t>DETALLE DE COSTOS POR RUBROS</t>
  </si>
  <si>
    <t>DETALLE DE COSTOS OBRA GRIS</t>
  </si>
  <si>
    <t>Maestro Mayor</t>
  </si>
  <si>
    <t>Albaniles</t>
  </si>
  <si>
    <t>Oficiales</t>
  </si>
  <si>
    <t>Boonker</t>
  </si>
  <si>
    <t>Tradicional</t>
  </si>
  <si>
    <t>Total de trabajadores</t>
  </si>
  <si>
    <t>Albanil</t>
  </si>
  <si>
    <t>Oficial</t>
  </si>
  <si>
    <t>US$</t>
  </si>
  <si>
    <t>COSTO SEMANAL POR TIPO DE TRABAJADOR</t>
  </si>
  <si>
    <t>Tiempo de ejecución</t>
  </si>
  <si>
    <t xml:space="preserve">TIEMPO DE EJECUCIÓN EN SEMANAS </t>
  </si>
  <si>
    <t>COSTO MANO DE OBRA</t>
  </si>
  <si>
    <t>Total Costo Mano de Obra</t>
  </si>
  <si>
    <t>PRECIO POR FLETE</t>
  </si>
  <si>
    <t>NÚMERO DE FLETES POR MATERIAL</t>
  </si>
  <si>
    <t>COSTO DE TRANSPORTE DE MATERIALES</t>
  </si>
  <si>
    <t>Precio incluye IVA</t>
  </si>
  <si>
    <t>Mixer Hormigón</t>
  </si>
  <si>
    <t>Trabajos Preliminares</t>
  </si>
  <si>
    <t>Movimiento de Tierras</t>
  </si>
  <si>
    <t>Estructura</t>
  </si>
  <si>
    <t>Mampostería</t>
  </si>
  <si>
    <t>Losa de Cubierta</t>
  </si>
  <si>
    <t>Enlucidos</t>
  </si>
  <si>
    <t>Pisos</t>
  </si>
  <si>
    <t>Carpintería Metal / Madera</t>
  </si>
  <si>
    <t>Recubrimientos</t>
  </si>
  <si>
    <t>Instalaciones hidrosanitarias</t>
  </si>
  <si>
    <t>Instalaciones Eléctrias</t>
  </si>
  <si>
    <t>Acabados interiores</t>
  </si>
  <si>
    <t>Mano de Obra</t>
  </si>
  <si>
    <t>Logística</t>
  </si>
  <si>
    <t>Total de Costos Directos</t>
  </si>
  <si>
    <t>Total Costo Obra Gris</t>
  </si>
  <si>
    <t>Costo por m2 de Obra Gris</t>
  </si>
  <si>
    <t>COSTO POR M2 DE OBRA GRIS</t>
  </si>
  <si>
    <t>Total de Costo de Construcción</t>
  </si>
  <si>
    <t>COSTO DE CONSTRUCCIÓN POR M2</t>
  </si>
  <si>
    <t>Costo de Construcción por m2</t>
  </si>
  <si>
    <t>Rubros Constructivos</t>
  </si>
  <si>
    <t>Costos Indirectos y Administrativos</t>
  </si>
  <si>
    <t>Subtotal Base</t>
  </si>
  <si>
    <t>Imprevistos</t>
  </si>
  <si>
    <t>Mamposteria y Estructura</t>
  </si>
  <si>
    <t>Estructuras</t>
  </si>
  <si>
    <t>Concretos (mixer hormigón)</t>
  </si>
  <si>
    <t>Materia Pétreo</t>
  </si>
  <si>
    <t>Cemento</t>
  </si>
  <si>
    <t>Total envíos</t>
  </si>
  <si>
    <t>Trailer</t>
  </si>
  <si>
    <t>Mula</t>
  </si>
  <si>
    <t>Material Pétreo</t>
  </si>
  <si>
    <t>Carpinteria Metal / Madera</t>
  </si>
  <si>
    <t>Instalaciones Hidrosanitarias</t>
  </si>
  <si>
    <t>Instalaciones Eléctricas</t>
  </si>
  <si>
    <t>Acabados Interiores</t>
  </si>
  <si>
    <t>Diferencia</t>
  </si>
  <si>
    <t>Diferencia Neta</t>
  </si>
  <si>
    <t>Subotal</t>
  </si>
  <si>
    <t>Factor Seguridad Social</t>
  </si>
  <si>
    <t>Total Costo Mano de Obra y Seguridad Social</t>
  </si>
  <si>
    <t>Costo del Terreno</t>
  </si>
  <si>
    <t>Precio de Venta</t>
  </si>
  <si>
    <t>Supuestos</t>
  </si>
  <si>
    <t>Costo Total de Vivienda</t>
  </si>
  <si>
    <t>Costo Total de Vivienda por m2</t>
  </si>
  <si>
    <t>Retorno sobre Inversión</t>
  </si>
  <si>
    <t>Utilidad sobre Venta</t>
  </si>
  <si>
    <t>Número de semanas al año</t>
  </si>
  <si>
    <t>Número de casas al año</t>
  </si>
  <si>
    <t>TIEMPO DE EJECUCIÓN - ROTACION DE CAPITAL DE TRABAJO</t>
  </si>
  <si>
    <t>Utilidad por casa</t>
  </si>
  <si>
    <t>Utilidad por año</t>
  </si>
  <si>
    <t>Inversion total</t>
  </si>
  <si>
    <t>Retorno sobre inversión al año</t>
  </si>
  <si>
    <t>Total de Egresos</t>
  </si>
  <si>
    <t>Flujo de caja proyecto</t>
  </si>
  <si>
    <t>Terreno</t>
  </si>
  <si>
    <t>Mes 1</t>
  </si>
  <si>
    <t>Mes 2</t>
  </si>
  <si>
    <t>Mes 3</t>
  </si>
  <si>
    <t>Mes 4</t>
  </si>
  <si>
    <t>TIR mensual</t>
  </si>
  <si>
    <t>TIR anual</t>
  </si>
  <si>
    <t>Mes 5</t>
  </si>
  <si>
    <t>Tiempo de ejecución y venta en semanas</t>
  </si>
  <si>
    <t xml:space="preserve">Índice de Rotación de Capital Neto de Trabajo </t>
  </si>
  <si>
    <t>Total construcción sin terreno</t>
  </si>
  <si>
    <t>Total Costo de Vivienda</t>
  </si>
  <si>
    <t>Fuente: Elaboración propia.</t>
  </si>
  <si>
    <t>Total Ingresos</t>
  </si>
  <si>
    <t>Ingresos</t>
  </si>
  <si>
    <t>Ingresos (Ventas)</t>
  </si>
  <si>
    <t>Egresos</t>
  </si>
  <si>
    <t>Total Costos Directos</t>
  </si>
  <si>
    <t>Costos Indirectos</t>
  </si>
  <si>
    <t>Mes 0</t>
  </si>
  <si>
    <t>Flujo de caja construtor</t>
  </si>
  <si>
    <t>Flujo Neto</t>
  </si>
  <si>
    <t>Costos Constructivos</t>
  </si>
  <si>
    <t>Utilidad Bruta</t>
  </si>
  <si>
    <t>Capital de Trabajo</t>
  </si>
  <si>
    <t>Utilidad Neta</t>
  </si>
  <si>
    <t>Flujo del Proyecto</t>
  </si>
  <si>
    <t>Impuestos</t>
  </si>
  <si>
    <t>15% Utilidad Trabajadores</t>
  </si>
  <si>
    <t>22% Impuesto a la renta</t>
  </si>
  <si>
    <t>Utilidad neta</t>
  </si>
  <si>
    <t>Utilidades e Impuestos</t>
  </si>
  <si>
    <t>Mes 6</t>
  </si>
  <si>
    <t>Mes 7</t>
  </si>
  <si>
    <t>Mes 8</t>
  </si>
  <si>
    <t>Mes 9</t>
  </si>
  <si>
    <t>Mes 10</t>
  </si>
  <si>
    <t>Mes 11</t>
  </si>
  <si>
    <t>Mes 12</t>
  </si>
  <si>
    <t>VAN (10%)</t>
  </si>
  <si>
    <t>VAN (39.19%)</t>
  </si>
  <si>
    <t>Mes 13</t>
  </si>
  <si>
    <t>Mes 14</t>
  </si>
  <si>
    <t>VAN (10.96%)</t>
  </si>
  <si>
    <t>Mes 15</t>
  </si>
  <si>
    <t>SUPUESTOS</t>
  </si>
  <si>
    <t>El constructor aporta el 100% del capital de trabajo necesario para la construccion de una vivienda</t>
  </si>
  <si>
    <t>No existe financiamiento, por tanto no hay costo financiero</t>
  </si>
  <si>
    <t>impuestos</t>
  </si>
  <si>
    <t>UAII</t>
  </si>
  <si>
    <t>Flujo de efectivo Operativo</t>
  </si>
  <si>
    <t>inversiones (Terreno)</t>
  </si>
  <si>
    <t>VAN</t>
  </si>
  <si>
    <t>TIR</t>
  </si>
  <si>
    <t>Accionistas</t>
  </si>
  <si>
    <t>acreedores</t>
  </si>
  <si>
    <t>Flujo de inversion (Terreno)</t>
  </si>
  <si>
    <t>Flujo Neto del Proyecto</t>
  </si>
  <si>
    <t>flujo neto fel proyecto</t>
  </si>
  <si>
    <t>flujo de los accionistas</t>
  </si>
  <si>
    <t>VAN (39.19%) comprobar</t>
  </si>
  <si>
    <t>Acreedores</t>
  </si>
  <si>
    <t>(15% Trabajadores y 22% Impuesto a la renta)</t>
  </si>
  <si>
    <t>Flujo de los pasivos o acreedores</t>
  </si>
  <si>
    <t>Flujo del Constructor</t>
  </si>
  <si>
    <t>Flujo de inversion (terreno)</t>
  </si>
  <si>
    <t>El flujo de caja del proyecto es igual al flujo de caja del constructor.</t>
  </si>
  <si>
    <t>El periodo de analisis son 4 meses, que es ciclo de construccion y venta de la casa analizada.</t>
  </si>
  <si>
    <t>Para el calculo del Valor Actual Neto se considero una tasa del 18%, tomando en cuenta el riesgo del sector analizado</t>
  </si>
  <si>
    <t>CALCULO DE TIR Y VAN</t>
  </si>
  <si>
    <t>VAN (18%)</t>
  </si>
  <si>
    <t>VAN (16,29%) comprobar</t>
  </si>
  <si>
    <t>El periodo de analisis son 5 meses, que es ciclo de construccion y venta de la casa analizada.</t>
  </si>
  <si>
    <t>(15% Trabajadores y 22% Impuesto a la renta) Ver hoja Presupuesto General</t>
  </si>
  <si>
    <t>Total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</si>
</sst>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;[Red]&quot;$&quot;\-#,##0.00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_);[Red]\(&quot;$&quot;\ #,##0.0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0.0"/>
    <numFmt numFmtId="168" formatCode="[$-409]mmm\-yy;@"/>
    <numFmt numFmtId="169" formatCode="_ &quot;$&quot;* #,##0_ ;_ &quot;$&quot;* \-#,##0_ ;_ &quot;$&quot;* &quot;-&quot;??_ ;_ @_ "/>
    <numFmt numFmtId="170" formatCode="mmmm\-yy"/>
    <numFmt numFmtId="171" formatCode="0.0000000"/>
    <numFmt numFmtId="172" formatCode="0.0%"/>
    <numFmt numFmtId="173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rgb="FF000000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1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0" xfId="0" applyFont="1" applyFill="1" applyBorder="1"/>
    <xf numFmtId="43" fontId="3" fillId="2" borderId="0" xfId="1" applyFont="1" applyFill="1" applyAlignment="1"/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9" fontId="3" fillId="2" borderId="0" xfId="5" applyNumberFormat="1" applyFont="1" applyFill="1"/>
    <xf numFmtId="169" fontId="3" fillId="2" borderId="0" xfId="5" applyNumberFormat="1" applyFont="1" applyFill="1" applyAlignment="1">
      <alignment horizontal="center"/>
    </xf>
    <xf numFmtId="169" fontId="3" fillId="2" borderId="13" xfId="5" applyNumberFormat="1" applyFont="1" applyFill="1" applyBorder="1"/>
    <xf numFmtId="169" fontId="3" fillId="2" borderId="0" xfId="0" applyNumberFormat="1" applyFont="1" applyFill="1" applyBorder="1"/>
    <xf numFmtId="43" fontId="3" fillId="2" borderId="0" xfId="0" applyNumberFormat="1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2" borderId="0" xfId="0" applyFont="1" applyFill="1"/>
    <xf numFmtId="44" fontId="4" fillId="2" borderId="5" xfId="5" applyNumberFormat="1" applyFont="1" applyFill="1" applyBorder="1" applyAlignment="1">
      <alignment horizontal="center"/>
    </xf>
    <xf numFmtId="0" fontId="4" fillId="2" borderId="13" xfId="0" applyFont="1" applyFill="1" applyBorder="1"/>
    <xf numFmtId="0" fontId="3" fillId="2" borderId="2" xfId="0" applyFont="1" applyFill="1" applyBorder="1"/>
    <xf numFmtId="0" fontId="3" fillId="2" borderId="13" xfId="0" applyFont="1" applyFill="1" applyBorder="1" applyAlignment="1">
      <alignment horizontal="right"/>
    </xf>
    <xf numFmtId="43" fontId="4" fillId="2" borderId="0" xfId="1" applyFont="1" applyFill="1" applyAlignment="1"/>
    <xf numFmtId="9" fontId="3" fillId="2" borderId="0" xfId="2" applyFont="1" applyFill="1"/>
    <xf numFmtId="0" fontId="4" fillId="2" borderId="5" xfId="0" applyFont="1" applyFill="1" applyBorder="1"/>
    <xf numFmtId="0" fontId="3" fillId="2" borderId="5" xfId="0" applyFont="1" applyFill="1" applyBorder="1" applyAlignment="1">
      <alignment horizontal="center"/>
    </xf>
    <xf numFmtId="169" fontId="3" fillId="2" borderId="0" xfId="5" applyNumberFormat="1" applyFont="1" applyFill="1" applyBorder="1"/>
    <xf numFmtId="0" fontId="4" fillId="2" borderId="13" xfId="0" applyFont="1" applyFill="1" applyBorder="1" applyAlignment="1">
      <alignment horizontal="center"/>
    </xf>
    <xf numFmtId="169" fontId="3" fillId="2" borderId="0" xfId="0" applyNumberFormat="1" applyFont="1" applyFill="1"/>
    <xf numFmtId="169" fontId="3" fillId="2" borderId="2" xfId="0" applyNumberFormat="1" applyFont="1" applyFill="1" applyBorder="1"/>
    <xf numFmtId="44" fontId="4" fillId="2" borderId="13" xfId="5" applyFont="1" applyFill="1" applyBorder="1"/>
    <xf numFmtId="0" fontId="6" fillId="2" borderId="0" xfId="0" applyFont="1" applyFill="1" applyBorder="1" applyAlignment="1">
      <alignment horizontal="center"/>
    </xf>
    <xf numFmtId="4" fontId="5" fillId="2" borderId="0" xfId="0" applyNumberFormat="1" applyFont="1" applyFill="1" applyBorder="1"/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 applyBorder="1"/>
    <xf numFmtId="4" fontId="3" fillId="2" borderId="0" xfId="0" applyNumberFormat="1" applyFont="1" applyFill="1" applyBorder="1"/>
    <xf numFmtId="9" fontId="3" fillId="2" borderId="0" xfId="2" applyFont="1" applyFill="1" applyBorder="1"/>
    <xf numFmtId="0" fontId="6" fillId="2" borderId="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167" fontId="6" fillId="2" borderId="0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0" fontId="3" fillId="2" borderId="0" xfId="2" applyNumberFormat="1" applyFont="1" applyFill="1" applyBorder="1"/>
    <xf numFmtId="10" fontId="3" fillId="2" borderId="0" xfId="0" applyNumberFormat="1" applyFont="1" applyFill="1" applyBorder="1"/>
    <xf numFmtId="0" fontId="5" fillId="3" borderId="8" xfId="0" applyFont="1" applyFill="1" applyBorder="1"/>
    <xf numFmtId="44" fontId="5" fillId="3" borderId="0" xfId="5" applyFont="1" applyFill="1" applyBorder="1"/>
    <xf numFmtId="43" fontId="6" fillId="3" borderId="9" xfId="1" applyNumberFormat="1" applyFont="1" applyFill="1" applyBorder="1"/>
    <xf numFmtId="0" fontId="6" fillId="3" borderId="0" xfId="0" applyFont="1" applyFill="1" applyBorder="1"/>
    <xf numFmtId="43" fontId="6" fillId="3" borderId="0" xfId="1" applyNumberFormat="1" applyFont="1" applyFill="1" applyBorder="1"/>
    <xf numFmtId="0" fontId="6" fillId="3" borderId="9" xfId="0" applyFont="1" applyFill="1" applyBorder="1"/>
    <xf numFmtId="43" fontId="6" fillId="3" borderId="4" xfId="1" applyNumberFormat="1" applyFont="1" applyFill="1" applyBorder="1"/>
    <xf numFmtId="0" fontId="5" fillId="2" borderId="9" xfId="0" applyFont="1" applyFill="1" applyBorder="1"/>
    <xf numFmtId="44" fontId="5" fillId="2" borderId="0" xfId="5" applyFont="1" applyFill="1" applyBorder="1"/>
    <xf numFmtId="43" fontId="6" fillId="2" borderId="9" xfId="1" applyNumberFormat="1" applyFont="1" applyFill="1" applyBorder="1"/>
    <xf numFmtId="43" fontId="6" fillId="2" borderId="0" xfId="1" applyNumberFormat="1" applyFont="1" applyFill="1" applyBorder="1"/>
    <xf numFmtId="0" fontId="6" fillId="2" borderId="9" xfId="0" applyFont="1" applyFill="1" applyBorder="1"/>
    <xf numFmtId="43" fontId="6" fillId="2" borderId="4" xfId="1" applyNumberFormat="1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44" fontId="5" fillId="3" borderId="13" xfId="5" applyFont="1" applyFill="1" applyBorder="1"/>
    <xf numFmtId="43" fontId="5" fillId="3" borderId="10" xfId="1" applyNumberFormat="1" applyFont="1" applyFill="1" applyBorder="1"/>
    <xf numFmtId="43" fontId="5" fillId="3" borderId="13" xfId="1" applyNumberFormat="1" applyFont="1" applyFill="1" applyBorder="1"/>
    <xf numFmtId="43" fontId="5" fillId="3" borderId="12" xfId="1" applyNumberFormat="1" applyFont="1" applyFill="1" applyBorder="1"/>
    <xf numFmtId="0" fontId="5" fillId="2" borderId="0" xfId="0" applyFont="1" applyFill="1"/>
    <xf numFmtId="168" fontId="5" fillId="2" borderId="7" xfId="0" applyNumberFormat="1" applyFont="1" applyFill="1" applyBorder="1" applyAlignment="1">
      <alignment horizontal="center"/>
    </xf>
    <xf numFmtId="168" fontId="5" fillId="2" borderId="5" xfId="0" applyNumberFormat="1" applyFont="1" applyFill="1" applyBorder="1" applyAlignment="1">
      <alignment horizontal="center"/>
    </xf>
    <xf numFmtId="168" fontId="5" fillId="2" borderId="15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6" fontId="6" fillId="2" borderId="0" xfId="0" applyNumberFormat="1" applyFont="1" applyFill="1"/>
    <xf numFmtId="0" fontId="6" fillId="2" borderId="0" xfId="0" applyFont="1" applyFill="1"/>
    <xf numFmtId="0" fontId="5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0" xfId="0" applyFont="1" applyFill="1" applyBorder="1"/>
    <xf numFmtId="4" fontId="5" fillId="3" borderId="0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/>
    <xf numFmtId="4" fontId="5" fillId="2" borderId="1" xfId="0" applyNumberFormat="1" applyFont="1" applyFill="1" applyBorder="1"/>
    <xf numFmtId="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3" fontId="6" fillId="2" borderId="1" xfId="1" applyFont="1" applyFill="1" applyBorder="1"/>
    <xf numFmtId="0" fontId="6" fillId="2" borderId="1" xfId="0" applyFont="1" applyFill="1" applyBorder="1" applyAlignment="1">
      <alignment horizontal="left"/>
    </xf>
    <xf numFmtId="44" fontId="3" fillId="2" borderId="0" xfId="5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3" fontId="4" fillId="2" borderId="5" xfId="1" applyFont="1" applyFill="1" applyBorder="1" applyAlignment="1">
      <alignment horizontal="center"/>
    </xf>
    <xf numFmtId="44" fontId="3" fillId="2" borderId="5" xfId="5" applyFont="1" applyFill="1" applyBorder="1" applyAlignment="1">
      <alignment horizontal="center"/>
    </xf>
    <xf numFmtId="43" fontId="4" fillId="2" borderId="13" xfId="1" applyFont="1" applyFill="1" applyBorder="1" applyAlignment="1">
      <alignment horizontal="center"/>
    </xf>
    <xf numFmtId="44" fontId="3" fillId="2" borderId="13" xfId="5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44" fontId="3" fillId="2" borderId="13" xfId="5" applyFont="1" applyFill="1" applyBorder="1"/>
    <xf numFmtId="44" fontId="3" fillId="2" borderId="14" xfId="5" applyFont="1" applyFill="1" applyBorder="1"/>
    <xf numFmtId="44" fontId="3" fillId="2" borderId="14" xfId="5" applyFont="1" applyFill="1" applyBorder="1" applyAlignment="1">
      <alignment horizontal="center"/>
    </xf>
    <xf numFmtId="44" fontId="3" fillId="2" borderId="0" xfId="5" applyFont="1" applyFill="1" applyBorder="1"/>
    <xf numFmtId="44" fontId="3" fillId="2" borderId="2" xfId="5" applyFont="1" applyFill="1" applyBorder="1"/>
    <xf numFmtId="44" fontId="3" fillId="2" borderId="5" xfId="5" applyFont="1" applyFill="1" applyBorder="1"/>
    <xf numFmtId="9" fontId="3" fillId="2" borderId="0" xfId="0" applyNumberFormat="1" applyFont="1" applyFill="1" applyBorder="1"/>
    <xf numFmtId="44" fontId="3" fillId="2" borderId="0" xfId="0" applyNumberFormat="1" applyFont="1" applyFill="1"/>
    <xf numFmtId="0" fontId="3" fillId="2" borderId="0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44" fontId="6" fillId="2" borderId="0" xfId="5" applyFont="1" applyFill="1" applyBorder="1" applyAlignment="1">
      <alignment horizontal="right"/>
    </xf>
    <xf numFmtId="44" fontId="6" fillId="2" borderId="0" xfId="5" applyFont="1" applyFill="1" applyBorder="1"/>
    <xf numFmtId="44" fontId="5" fillId="2" borderId="0" xfId="5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9" fontId="3" fillId="2" borderId="2" xfId="5" applyNumberFormat="1" applyFont="1" applyFill="1" applyBorder="1" applyAlignment="1">
      <alignment horizontal="center"/>
    </xf>
    <xf numFmtId="169" fontId="3" fillId="2" borderId="2" xfId="5" applyNumberFormat="1" applyFont="1" applyFill="1" applyBorder="1"/>
    <xf numFmtId="9" fontId="4" fillId="2" borderId="13" xfId="0" applyNumberFormat="1" applyFont="1" applyFill="1" applyBorder="1"/>
    <xf numFmtId="169" fontId="4" fillId="2" borderId="13" xfId="5" applyNumberFormat="1" applyFont="1" applyFill="1" applyBorder="1"/>
    <xf numFmtId="43" fontId="4" fillId="2" borderId="13" xfId="1" applyFont="1" applyFill="1" applyBorder="1"/>
    <xf numFmtId="0" fontId="6" fillId="2" borderId="0" xfId="0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167" fontId="6" fillId="2" borderId="0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center"/>
    </xf>
    <xf numFmtId="43" fontId="6" fillId="2" borderId="0" xfId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5" fillId="2" borderId="13" xfId="0" applyFont="1" applyFill="1" applyBorder="1" applyAlignment="1"/>
    <xf numFmtId="0" fontId="5" fillId="2" borderId="13" xfId="0" applyFont="1" applyFill="1" applyBorder="1" applyAlignment="1">
      <alignment horizontal="right"/>
    </xf>
    <xf numFmtId="0" fontId="6" fillId="2" borderId="13" xfId="0" applyFont="1" applyFill="1" applyBorder="1"/>
    <xf numFmtId="44" fontId="6" fillId="2" borderId="0" xfId="5" applyFont="1" applyFill="1" applyBorder="1" applyAlignment="1">
      <alignment horizontal="right" vertical="center"/>
    </xf>
    <xf numFmtId="44" fontId="6" fillId="2" borderId="0" xfId="5" applyFont="1" applyFill="1" applyBorder="1" applyAlignment="1">
      <alignment horizontal="center"/>
    </xf>
    <xf numFmtId="44" fontId="5" fillId="2" borderId="13" xfId="5" applyFont="1" applyFill="1" applyBorder="1" applyAlignment="1"/>
    <xf numFmtId="44" fontId="6" fillId="2" borderId="13" xfId="5" applyFont="1" applyFill="1" applyBorder="1"/>
    <xf numFmtId="44" fontId="3" fillId="2" borderId="0" xfId="5" applyNumberFormat="1" applyFont="1" applyFill="1"/>
    <xf numFmtId="0" fontId="8" fillId="0" borderId="13" xfId="0" applyFont="1" applyBorder="1"/>
    <xf numFmtId="43" fontId="3" fillId="2" borderId="13" xfId="1" applyFont="1" applyFill="1" applyBorder="1"/>
    <xf numFmtId="9" fontId="3" fillId="2" borderId="13" xfId="2" applyFont="1" applyFill="1" applyBorder="1" applyAlignment="1">
      <alignment horizontal="center"/>
    </xf>
    <xf numFmtId="43" fontId="6" fillId="4" borderId="0" xfId="1" applyNumberFormat="1" applyFont="1" applyFill="1" applyBorder="1"/>
    <xf numFmtId="164" fontId="3" fillId="2" borderId="0" xfId="0" applyNumberFormat="1" applyFont="1" applyFill="1"/>
    <xf numFmtId="171" fontId="6" fillId="2" borderId="0" xfId="0" applyNumberFormat="1" applyFont="1" applyFill="1"/>
    <xf numFmtId="4" fontId="6" fillId="2" borderId="0" xfId="0" applyNumberFormat="1" applyFont="1" applyFill="1" applyBorder="1" applyAlignment="1">
      <alignment horizontal="left"/>
    </xf>
    <xf numFmtId="4" fontId="5" fillId="2" borderId="0" xfId="0" applyNumberFormat="1" applyFont="1" applyFill="1" applyBorder="1" applyAlignment="1">
      <alignment horizontal="center"/>
    </xf>
    <xf numFmtId="170" fontId="5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left"/>
    </xf>
    <xf numFmtId="43" fontId="3" fillId="2" borderId="0" xfId="0" applyNumberFormat="1" applyFont="1" applyFill="1" applyBorder="1"/>
    <xf numFmtId="43" fontId="5" fillId="2" borderId="0" xfId="1" applyFont="1" applyFill="1" applyBorder="1" applyAlignment="1">
      <alignment horizontal="center"/>
    </xf>
    <xf numFmtId="172" fontId="3" fillId="2" borderId="0" xfId="0" applyNumberFormat="1" applyFont="1" applyFill="1" applyBorder="1"/>
    <xf numFmtId="44" fontId="5" fillId="2" borderId="0" xfId="5" applyFont="1" applyFill="1" applyBorder="1" applyAlignment="1">
      <alignment horizontal="center"/>
    </xf>
    <xf numFmtId="44" fontId="4" fillId="2" borderId="0" xfId="5" applyFont="1" applyFill="1" applyBorder="1"/>
    <xf numFmtId="0" fontId="5" fillId="2" borderId="13" xfId="0" applyFont="1" applyFill="1" applyBorder="1"/>
    <xf numFmtId="4" fontId="6" fillId="2" borderId="13" xfId="0" applyNumberFormat="1" applyFont="1" applyFill="1" applyBorder="1" applyAlignment="1">
      <alignment horizontal="left"/>
    </xf>
    <xf numFmtId="4" fontId="6" fillId="2" borderId="13" xfId="0" applyNumberFormat="1" applyFont="1" applyFill="1" applyBorder="1" applyAlignment="1">
      <alignment horizontal="center"/>
    </xf>
    <xf numFmtId="4" fontId="3" fillId="2" borderId="13" xfId="0" applyNumberFormat="1" applyFont="1" applyFill="1" applyBorder="1"/>
    <xf numFmtId="44" fontId="6" fillId="2" borderId="13" xfId="5" applyFont="1" applyFill="1" applyBorder="1" applyAlignment="1">
      <alignment horizontal="center"/>
    </xf>
    <xf numFmtId="164" fontId="3" fillId="2" borderId="13" xfId="0" applyNumberFormat="1" applyFont="1" applyFill="1" applyBorder="1"/>
    <xf numFmtId="0" fontId="4" fillId="2" borderId="0" xfId="0" applyFont="1" applyFill="1" applyBorder="1"/>
    <xf numFmtId="0" fontId="4" fillId="2" borderId="13" xfId="0" applyFont="1" applyFill="1" applyBorder="1" applyAlignment="1">
      <alignment horizontal="center"/>
    </xf>
    <xf numFmtId="165" fontId="3" fillId="2" borderId="0" xfId="0" applyNumberFormat="1" applyFont="1" applyFill="1"/>
    <xf numFmtId="0" fontId="5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2" borderId="11" xfId="0" applyFont="1" applyFill="1" applyBorder="1"/>
    <xf numFmtId="0" fontId="6" fillId="2" borderId="12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9" fontId="6" fillId="2" borderId="0" xfId="0" applyNumberFormat="1" applyFont="1" applyFill="1" applyBorder="1"/>
    <xf numFmtId="0" fontId="6" fillId="2" borderId="0" xfId="0" applyFont="1" applyFill="1" applyBorder="1" applyAlignment="1">
      <alignment horizontal="left"/>
    </xf>
    <xf numFmtId="9" fontId="6" fillId="2" borderId="0" xfId="2" applyFont="1" applyFill="1" applyBorder="1"/>
    <xf numFmtId="170" fontId="5" fillId="2" borderId="13" xfId="0" applyNumberFormat="1" applyFont="1" applyFill="1" applyBorder="1" applyAlignment="1">
      <alignment horizontal="center"/>
    </xf>
    <xf numFmtId="4" fontId="5" fillId="2" borderId="13" xfId="0" applyNumberFormat="1" applyFont="1" applyFill="1" applyBorder="1" applyAlignment="1">
      <alignment horizontal="left"/>
    </xf>
    <xf numFmtId="44" fontId="9" fillId="2" borderId="0" xfId="5" applyFont="1" applyFill="1" applyBorder="1"/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44" fontId="6" fillId="2" borderId="0" xfId="0" applyNumberFormat="1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173" fontId="3" fillId="2" borderId="0" xfId="0" applyNumberFormat="1" applyFont="1" applyFill="1" applyBorder="1"/>
    <xf numFmtId="0" fontId="6" fillId="5" borderId="0" xfId="0" applyFont="1" applyFill="1"/>
    <xf numFmtId="44" fontId="6" fillId="5" borderId="0" xfId="5" applyFont="1" applyFill="1" applyBorder="1" applyAlignment="1">
      <alignment horizontal="center"/>
    </xf>
    <xf numFmtId="44" fontId="3" fillId="5" borderId="0" xfId="0" applyNumberFormat="1" applyFont="1" applyFill="1"/>
    <xf numFmtId="4" fontId="6" fillId="5" borderId="0" xfId="0" applyNumberFormat="1" applyFont="1" applyFill="1" applyBorder="1" applyAlignment="1">
      <alignment horizontal="left"/>
    </xf>
    <xf numFmtId="4" fontId="6" fillId="5" borderId="0" xfId="0" applyNumberFormat="1" applyFont="1" applyFill="1" applyBorder="1" applyAlignment="1">
      <alignment horizontal="center"/>
    </xf>
    <xf numFmtId="44" fontId="6" fillId="2" borderId="13" xfId="5" applyFont="1" applyFill="1" applyBorder="1" applyAlignment="1">
      <alignment horizontal="right"/>
    </xf>
    <xf numFmtId="43" fontId="3" fillId="2" borderId="0" xfId="1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13" xfId="0" applyFill="1" applyBorder="1"/>
    <xf numFmtId="0" fontId="4" fillId="2" borderId="13" xfId="0" applyFont="1" applyFill="1" applyBorder="1" applyAlignment="1">
      <alignment horizontal="center"/>
    </xf>
    <xf numFmtId="10" fontId="6" fillId="2" borderId="0" xfId="2" applyNumberFormat="1" applyFont="1" applyFill="1" applyBorder="1" applyAlignment="1">
      <alignment horizontal="center"/>
    </xf>
    <xf numFmtId="8" fontId="6" fillId="2" borderId="0" xfId="2" applyNumberFormat="1" applyFont="1" applyFill="1" applyBorder="1" applyAlignment="1">
      <alignment horizontal="center"/>
    </xf>
    <xf numFmtId="43" fontId="3" fillId="2" borderId="0" xfId="1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43" fontId="6" fillId="2" borderId="13" xfId="2" applyNumberFormat="1" applyFont="1" applyFill="1" applyBorder="1" applyAlignment="1">
      <alignment horizontal="center"/>
    </xf>
    <xf numFmtId="9" fontId="0" fillId="2" borderId="0" xfId="0" applyNumberFormat="1" applyFill="1"/>
    <xf numFmtId="9" fontId="3" fillId="2" borderId="0" xfId="0" applyNumberFormat="1" applyFont="1" applyFill="1"/>
    <xf numFmtId="43" fontId="0" fillId="2" borderId="0" xfId="1" applyFont="1" applyFill="1"/>
    <xf numFmtId="0" fontId="4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/>
    <cellStyle name="Porcentaje" xfId="2" builtinId="5"/>
    <cellStyle name="Porcentu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13" zoomScaleNormal="100" workbookViewId="0">
      <selection activeCell="A34" sqref="A34"/>
    </sheetView>
  </sheetViews>
  <sheetFormatPr baseColWidth="10" defaultColWidth="11.42578125" defaultRowHeight="15.75" x14ac:dyDescent="0.25"/>
  <cols>
    <col min="1" max="1" width="44.140625" style="2" customWidth="1"/>
    <col min="2" max="2" width="6.7109375" style="2" bestFit="1" customWidth="1"/>
    <col min="3" max="3" width="14.85546875" style="2" customWidth="1"/>
    <col min="4" max="4" width="14.140625" style="2" customWidth="1"/>
    <col min="5" max="5" width="15.42578125" style="2" bestFit="1" customWidth="1"/>
    <col min="6" max="6" width="12.140625" style="2" customWidth="1"/>
    <col min="7" max="7" width="11.42578125" style="4"/>
    <col min="8" max="8" width="16.42578125" style="4" bestFit="1" customWidth="1"/>
    <col min="9" max="16384" width="11.42578125" style="2"/>
  </cols>
  <sheetData>
    <row r="1" spans="1:8" x14ac:dyDescent="0.25">
      <c r="A1" s="205" t="s">
        <v>101</v>
      </c>
      <c r="B1" s="205"/>
      <c r="C1" s="205"/>
      <c r="D1" s="205"/>
    </row>
    <row r="2" spans="1:8" ht="16.5" thickBot="1" x14ac:dyDescent="0.3">
      <c r="A2" s="5"/>
      <c r="B2" s="5"/>
      <c r="C2" s="5"/>
      <c r="D2" s="5"/>
    </row>
    <row r="3" spans="1:8" ht="16.5" thickBot="1" x14ac:dyDescent="0.3">
      <c r="A3" s="5"/>
      <c r="B3" s="5"/>
      <c r="C3" s="156" t="s">
        <v>108</v>
      </c>
      <c r="D3" s="156" t="s">
        <v>109</v>
      </c>
      <c r="G3" s="2"/>
      <c r="H3" s="2"/>
    </row>
    <row r="4" spans="1:8" x14ac:dyDescent="0.25">
      <c r="A4" s="2" t="s">
        <v>110</v>
      </c>
      <c r="C4" s="7">
        <f>SUM(C5:C7)</f>
        <v>8</v>
      </c>
      <c r="D4" s="7">
        <f>SUM(D5:D7)</f>
        <v>6</v>
      </c>
    </row>
    <row r="5" spans="1:8" x14ac:dyDescent="0.25">
      <c r="A5" s="2" t="s">
        <v>105</v>
      </c>
      <c r="C5" s="7">
        <v>1</v>
      </c>
      <c r="D5" s="7">
        <v>1</v>
      </c>
    </row>
    <row r="6" spans="1:8" x14ac:dyDescent="0.25">
      <c r="A6" s="2" t="s">
        <v>111</v>
      </c>
      <c r="C6" s="7">
        <v>3</v>
      </c>
      <c r="D6" s="7">
        <v>3</v>
      </c>
      <c r="G6" s="2"/>
      <c r="H6" s="2"/>
    </row>
    <row r="7" spans="1:8" ht="16.5" thickBot="1" x14ac:dyDescent="0.3">
      <c r="A7" s="5" t="s">
        <v>112</v>
      </c>
      <c r="B7" s="5"/>
      <c r="C7" s="6">
        <v>4</v>
      </c>
      <c r="D7" s="6">
        <v>2</v>
      </c>
      <c r="G7" s="2"/>
      <c r="H7" s="2"/>
    </row>
    <row r="8" spans="1:8" x14ac:dyDescent="0.25">
      <c r="A8" s="2" t="s">
        <v>195</v>
      </c>
      <c r="G8" s="2"/>
      <c r="H8" s="2"/>
    </row>
    <row r="9" spans="1:8" x14ac:dyDescent="0.25">
      <c r="G9" s="2"/>
      <c r="H9" s="2"/>
    </row>
    <row r="10" spans="1:8" x14ac:dyDescent="0.25">
      <c r="A10" s="205" t="s">
        <v>114</v>
      </c>
      <c r="B10" s="205"/>
      <c r="C10" s="205"/>
      <c r="D10" s="205"/>
      <c r="G10" s="2"/>
      <c r="H10" s="2"/>
    </row>
    <row r="11" spans="1:8" ht="16.5" thickBot="1" x14ac:dyDescent="0.3">
      <c r="A11" s="5"/>
      <c r="B11" s="5"/>
      <c r="C11" s="5"/>
      <c r="D11" s="5"/>
      <c r="G11" s="2"/>
      <c r="H11" s="2"/>
    </row>
    <row r="12" spans="1:8" ht="16.5" thickBot="1" x14ac:dyDescent="0.3">
      <c r="A12" s="5"/>
      <c r="B12" s="5" t="s">
        <v>113</v>
      </c>
      <c r="C12" s="6" t="s">
        <v>108</v>
      </c>
      <c r="D12" s="6" t="s">
        <v>109</v>
      </c>
      <c r="H12" s="2"/>
    </row>
    <row r="13" spans="1:8" x14ac:dyDescent="0.25">
      <c r="A13" s="2" t="s">
        <v>105</v>
      </c>
      <c r="B13" s="8">
        <v>200</v>
      </c>
      <c r="C13" s="9">
        <f>+B13*C5</f>
        <v>200</v>
      </c>
      <c r="D13" s="9">
        <f>+B13*D5</f>
        <v>200</v>
      </c>
      <c r="H13" s="2"/>
    </row>
    <row r="14" spans="1:8" x14ac:dyDescent="0.25">
      <c r="A14" s="2" t="s">
        <v>106</v>
      </c>
      <c r="B14" s="8">
        <v>150</v>
      </c>
      <c r="C14" s="9">
        <f>+B14*C6</f>
        <v>450</v>
      </c>
      <c r="D14" s="9">
        <f>+B14*D6</f>
        <v>450</v>
      </c>
    </row>
    <row r="15" spans="1:8" x14ac:dyDescent="0.25">
      <c r="A15" s="2" t="s">
        <v>107</v>
      </c>
      <c r="B15" s="8">
        <v>120</v>
      </c>
      <c r="C15" s="108">
        <f>+B15*C7</f>
        <v>480</v>
      </c>
      <c r="D15" s="108">
        <f>+B15*D7</f>
        <v>240</v>
      </c>
    </row>
    <row r="16" spans="1:8" x14ac:dyDescent="0.25">
      <c r="A16" s="107" t="s">
        <v>164</v>
      </c>
      <c r="B16" s="8"/>
      <c r="C16" s="9">
        <v>1130</v>
      </c>
      <c r="D16" s="9">
        <v>890</v>
      </c>
    </row>
    <row r="17" spans="1:6" x14ac:dyDescent="0.25">
      <c r="A17" s="3" t="s">
        <v>165</v>
      </c>
      <c r="B17" s="100">
        <v>0.35</v>
      </c>
      <c r="C17" s="109">
        <f>+C16*($B$17)</f>
        <v>395.5</v>
      </c>
      <c r="D17" s="109">
        <f>+D16*($B$17)</f>
        <v>311.5</v>
      </c>
    </row>
    <row r="18" spans="1:6" ht="16.5" thickBot="1" x14ac:dyDescent="0.3">
      <c r="A18" s="19" t="s">
        <v>166</v>
      </c>
      <c r="B18" s="110"/>
      <c r="C18" s="111">
        <f>+C16*(1+$B$17)</f>
        <v>1525.5</v>
      </c>
      <c r="D18" s="111">
        <f>+D16*(1+$B$17)</f>
        <v>1201.5</v>
      </c>
    </row>
    <row r="19" spans="1:6" x14ac:dyDescent="0.25">
      <c r="A19" s="2" t="s">
        <v>102</v>
      </c>
      <c r="B19" s="3"/>
      <c r="C19" s="11"/>
      <c r="D19" s="11"/>
    </row>
    <row r="20" spans="1:6" x14ac:dyDescent="0.25">
      <c r="B20" s="3"/>
      <c r="C20" s="11"/>
      <c r="D20" s="11"/>
    </row>
    <row r="21" spans="1:6" x14ac:dyDescent="0.25">
      <c r="A21" s="205" t="s">
        <v>116</v>
      </c>
      <c r="B21" s="205"/>
      <c r="C21" s="205"/>
      <c r="D21" s="205"/>
    </row>
    <row r="22" spans="1:6" ht="16.5" thickBot="1" x14ac:dyDescent="0.3">
      <c r="A22" s="5"/>
      <c r="B22" s="5"/>
      <c r="C22" s="6" t="s">
        <v>108</v>
      </c>
      <c r="D22" s="6" t="s">
        <v>109</v>
      </c>
    </row>
    <row r="23" spans="1:6" ht="16.5" thickBot="1" x14ac:dyDescent="0.3">
      <c r="A23" s="13" t="s">
        <v>115</v>
      </c>
      <c r="B23" s="13"/>
      <c r="C23" s="14">
        <v>4</v>
      </c>
      <c r="D23" s="14">
        <v>7</v>
      </c>
      <c r="E23" s="15"/>
      <c r="F23" s="15"/>
    </row>
    <row r="24" spans="1:6" x14ac:dyDescent="0.25">
      <c r="A24" s="2" t="s">
        <v>102</v>
      </c>
    </row>
    <row r="26" spans="1:6" x14ac:dyDescent="0.25">
      <c r="A26" s="205" t="s">
        <v>117</v>
      </c>
      <c r="B26" s="205"/>
      <c r="C26" s="205"/>
      <c r="D26" s="205"/>
    </row>
    <row r="27" spans="1:6" ht="16.5" thickBot="1" x14ac:dyDescent="0.3">
      <c r="A27" s="5"/>
      <c r="B27" s="5"/>
      <c r="C27" s="6" t="s">
        <v>108</v>
      </c>
      <c r="D27" s="6" t="s">
        <v>109</v>
      </c>
    </row>
    <row r="28" spans="1:6" ht="16.5" thickBot="1" x14ac:dyDescent="0.3">
      <c r="A28" s="13" t="s">
        <v>118</v>
      </c>
      <c r="B28" s="13"/>
      <c r="C28" s="16">
        <f>+C18*C23</f>
        <v>6102</v>
      </c>
      <c r="D28" s="16">
        <f>+D18*D23</f>
        <v>8410.5</v>
      </c>
    </row>
    <row r="29" spans="1:6" x14ac:dyDescent="0.25">
      <c r="A29" s="2" t="s">
        <v>102</v>
      </c>
    </row>
    <row r="37" spans="7:8" x14ac:dyDescent="0.25">
      <c r="G37" s="2"/>
      <c r="H37" s="2"/>
    </row>
    <row r="38" spans="7:8" x14ac:dyDescent="0.25">
      <c r="G38" s="2"/>
      <c r="H38" s="2"/>
    </row>
    <row r="39" spans="7:8" x14ac:dyDescent="0.25">
      <c r="G39" s="2"/>
      <c r="H39" s="2"/>
    </row>
    <row r="40" spans="7:8" x14ac:dyDescent="0.25">
      <c r="G40" s="2"/>
      <c r="H40" s="2"/>
    </row>
    <row r="41" spans="7:8" x14ac:dyDescent="0.25">
      <c r="G41" s="2"/>
      <c r="H41" s="2"/>
    </row>
    <row r="42" spans="7:8" x14ac:dyDescent="0.25">
      <c r="G42" s="2"/>
      <c r="H42" s="2"/>
    </row>
    <row r="43" spans="7:8" x14ac:dyDescent="0.25">
      <c r="G43" s="2"/>
      <c r="H43" s="2"/>
    </row>
    <row r="44" spans="7:8" x14ac:dyDescent="0.25">
      <c r="G44" s="2"/>
      <c r="H44" s="2"/>
    </row>
    <row r="45" spans="7:8" x14ac:dyDescent="0.25">
      <c r="G45" s="2"/>
      <c r="H45" s="2"/>
    </row>
    <row r="46" spans="7:8" x14ac:dyDescent="0.25">
      <c r="G46" s="2"/>
      <c r="H46" s="2"/>
    </row>
    <row r="47" spans="7:8" x14ac:dyDescent="0.25">
      <c r="G47" s="2"/>
      <c r="H47" s="2"/>
    </row>
    <row r="48" spans="7:8" x14ac:dyDescent="0.25">
      <c r="G48" s="2"/>
      <c r="H48" s="2"/>
    </row>
    <row r="49" spans="7:8" x14ac:dyDescent="0.25">
      <c r="G49" s="2"/>
      <c r="H49" s="2"/>
    </row>
    <row r="50" spans="7:8" x14ac:dyDescent="0.25">
      <c r="G50" s="2"/>
      <c r="H50" s="2"/>
    </row>
    <row r="51" spans="7:8" x14ac:dyDescent="0.25">
      <c r="G51" s="2"/>
      <c r="H51" s="2"/>
    </row>
    <row r="52" spans="7:8" x14ac:dyDescent="0.25">
      <c r="G52" s="2"/>
      <c r="H52" s="2"/>
    </row>
    <row r="53" spans="7:8" x14ac:dyDescent="0.25">
      <c r="G53" s="2"/>
      <c r="H53" s="2"/>
    </row>
    <row r="54" spans="7:8" x14ac:dyDescent="0.25">
      <c r="G54" s="2"/>
      <c r="H54" s="2"/>
    </row>
    <row r="55" spans="7:8" x14ac:dyDescent="0.25">
      <c r="G55" s="2"/>
      <c r="H55" s="2"/>
    </row>
    <row r="56" spans="7:8" x14ac:dyDescent="0.25">
      <c r="G56" s="2"/>
      <c r="H56" s="2"/>
    </row>
    <row r="57" spans="7:8" x14ac:dyDescent="0.25">
      <c r="G57" s="2"/>
      <c r="H57" s="2"/>
    </row>
    <row r="58" spans="7:8" x14ac:dyDescent="0.25">
      <c r="G58" s="2"/>
      <c r="H58" s="2"/>
    </row>
    <row r="59" spans="7:8" x14ac:dyDescent="0.25">
      <c r="G59" s="2"/>
      <c r="H59" s="2"/>
    </row>
    <row r="60" spans="7:8" x14ac:dyDescent="0.25">
      <c r="G60" s="2"/>
      <c r="H60" s="2"/>
    </row>
    <row r="61" spans="7:8" x14ac:dyDescent="0.25">
      <c r="G61" s="2"/>
      <c r="H61" s="2"/>
    </row>
    <row r="62" spans="7:8" x14ac:dyDescent="0.25">
      <c r="G62" s="2"/>
      <c r="H62" s="2"/>
    </row>
    <row r="63" spans="7:8" x14ac:dyDescent="0.25">
      <c r="G63" s="2"/>
      <c r="H63" s="2"/>
    </row>
    <row r="64" spans="7:8" x14ac:dyDescent="0.25">
      <c r="G64" s="2"/>
      <c r="H64" s="2"/>
    </row>
    <row r="65" spans="7:8" x14ac:dyDescent="0.25">
      <c r="G65" s="2"/>
      <c r="H65" s="2"/>
    </row>
  </sheetData>
  <mergeCells count="4">
    <mergeCell ref="A1:D1"/>
    <mergeCell ref="A10:D10"/>
    <mergeCell ref="A21:D21"/>
    <mergeCell ref="A26:D2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topLeftCell="A16" workbookViewId="0">
      <selection activeCell="L35" sqref="L35"/>
    </sheetView>
  </sheetViews>
  <sheetFormatPr baseColWidth="10" defaultRowHeight="15.75" x14ac:dyDescent="0.25"/>
  <cols>
    <col min="1" max="1" width="24.85546875" style="2" customWidth="1"/>
    <col min="2" max="2" width="19.42578125" style="2" hidden="1" customWidth="1"/>
    <col min="3" max="3" width="15.140625" style="2" customWidth="1"/>
    <col min="4" max="7" width="13" style="2" customWidth="1"/>
    <col min="8" max="8" width="12.85546875" style="2" customWidth="1"/>
    <col min="9" max="9" width="12.28515625" style="2" customWidth="1"/>
    <col min="10" max="11" width="13" style="2" customWidth="1"/>
    <col min="12" max="12" width="13.42578125" style="2" customWidth="1"/>
    <col min="13" max="240" width="11.42578125" style="2"/>
    <col min="241" max="241" width="32.42578125" style="2" customWidth="1"/>
    <col min="242" max="242" width="13.28515625" style="2" customWidth="1"/>
    <col min="243" max="243" width="11.85546875" style="2" customWidth="1"/>
    <col min="244" max="244" width="13.140625" style="2" customWidth="1"/>
    <col min="245" max="245" width="14.42578125" style="2" customWidth="1"/>
    <col min="246" max="246" width="12.85546875" style="2" customWidth="1"/>
    <col min="247" max="252" width="12.28515625" style="2" bestFit="1" customWidth="1"/>
    <col min="253" max="260" width="13.85546875" style="2" bestFit="1" customWidth="1"/>
    <col min="261" max="261" width="16.28515625" style="2" customWidth="1"/>
    <col min="262" max="263" width="11.42578125" style="2"/>
    <col min="264" max="264" width="11.7109375" style="2" bestFit="1" customWidth="1"/>
    <col min="265" max="265" width="12.28515625" style="2" customWidth="1"/>
    <col min="266" max="496" width="11.42578125" style="2"/>
    <col min="497" max="497" width="32.42578125" style="2" customWidth="1"/>
    <col min="498" max="498" width="13.28515625" style="2" customWidth="1"/>
    <col min="499" max="499" width="11.85546875" style="2" customWidth="1"/>
    <col min="500" max="500" width="13.140625" style="2" customWidth="1"/>
    <col min="501" max="501" width="14.42578125" style="2" customWidth="1"/>
    <col min="502" max="502" width="12.85546875" style="2" customWidth="1"/>
    <col min="503" max="508" width="12.28515625" style="2" bestFit="1" customWidth="1"/>
    <col min="509" max="516" width="13.85546875" style="2" bestFit="1" customWidth="1"/>
    <col min="517" max="517" width="16.28515625" style="2" customWidth="1"/>
    <col min="518" max="519" width="11.42578125" style="2"/>
    <col min="520" max="520" width="11.7109375" style="2" bestFit="1" customWidth="1"/>
    <col min="521" max="521" width="12.28515625" style="2" customWidth="1"/>
    <col min="522" max="752" width="11.42578125" style="2"/>
    <col min="753" max="753" width="32.42578125" style="2" customWidth="1"/>
    <col min="754" max="754" width="13.28515625" style="2" customWidth="1"/>
    <col min="755" max="755" width="11.85546875" style="2" customWidth="1"/>
    <col min="756" max="756" width="13.140625" style="2" customWidth="1"/>
    <col min="757" max="757" width="14.42578125" style="2" customWidth="1"/>
    <col min="758" max="758" width="12.85546875" style="2" customWidth="1"/>
    <col min="759" max="764" width="12.28515625" style="2" bestFit="1" customWidth="1"/>
    <col min="765" max="772" width="13.85546875" style="2" bestFit="1" customWidth="1"/>
    <col min="773" max="773" width="16.28515625" style="2" customWidth="1"/>
    <col min="774" max="775" width="11.42578125" style="2"/>
    <col min="776" max="776" width="11.7109375" style="2" bestFit="1" customWidth="1"/>
    <col min="777" max="777" width="12.28515625" style="2" customWidth="1"/>
    <col min="778" max="1008" width="11.42578125" style="2"/>
    <col min="1009" max="1009" width="32.42578125" style="2" customWidth="1"/>
    <col min="1010" max="1010" width="13.28515625" style="2" customWidth="1"/>
    <col min="1011" max="1011" width="11.85546875" style="2" customWidth="1"/>
    <col min="1012" max="1012" width="13.140625" style="2" customWidth="1"/>
    <col min="1013" max="1013" width="14.42578125" style="2" customWidth="1"/>
    <col min="1014" max="1014" width="12.85546875" style="2" customWidth="1"/>
    <col min="1015" max="1020" width="12.28515625" style="2" bestFit="1" customWidth="1"/>
    <col min="1021" max="1028" width="13.85546875" style="2" bestFit="1" customWidth="1"/>
    <col min="1029" max="1029" width="16.28515625" style="2" customWidth="1"/>
    <col min="1030" max="1031" width="11.42578125" style="2"/>
    <col min="1032" max="1032" width="11.7109375" style="2" bestFit="1" customWidth="1"/>
    <col min="1033" max="1033" width="12.28515625" style="2" customWidth="1"/>
    <col min="1034" max="1264" width="11.42578125" style="2"/>
    <col min="1265" max="1265" width="32.42578125" style="2" customWidth="1"/>
    <col min="1266" max="1266" width="13.28515625" style="2" customWidth="1"/>
    <col min="1267" max="1267" width="11.85546875" style="2" customWidth="1"/>
    <col min="1268" max="1268" width="13.140625" style="2" customWidth="1"/>
    <col min="1269" max="1269" width="14.42578125" style="2" customWidth="1"/>
    <col min="1270" max="1270" width="12.85546875" style="2" customWidth="1"/>
    <col min="1271" max="1276" width="12.28515625" style="2" bestFit="1" customWidth="1"/>
    <col min="1277" max="1284" width="13.85546875" style="2" bestFit="1" customWidth="1"/>
    <col min="1285" max="1285" width="16.28515625" style="2" customWidth="1"/>
    <col min="1286" max="1287" width="11.42578125" style="2"/>
    <col min="1288" max="1288" width="11.7109375" style="2" bestFit="1" customWidth="1"/>
    <col min="1289" max="1289" width="12.28515625" style="2" customWidth="1"/>
    <col min="1290" max="1520" width="11.42578125" style="2"/>
    <col min="1521" max="1521" width="32.42578125" style="2" customWidth="1"/>
    <col min="1522" max="1522" width="13.28515625" style="2" customWidth="1"/>
    <col min="1523" max="1523" width="11.85546875" style="2" customWidth="1"/>
    <col min="1524" max="1524" width="13.140625" style="2" customWidth="1"/>
    <col min="1525" max="1525" width="14.42578125" style="2" customWidth="1"/>
    <col min="1526" max="1526" width="12.85546875" style="2" customWidth="1"/>
    <col min="1527" max="1532" width="12.28515625" style="2" bestFit="1" customWidth="1"/>
    <col min="1533" max="1540" width="13.85546875" style="2" bestFit="1" customWidth="1"/>
    <col min="1541" max="1541" width="16.28515625" style="2" customWidth="1"/>
    <col min="1542" max="1543" width="11.42578125" style="2"/>
    <col min="1544" max="1544" width="11.7109375" style="2" bestFit="1" customWidth="1"/>
    <col min="1545" max="1545" width="12.28515625" style="2" customWidth="1"/>
    <col min="1546" max="1776" width="11.42578125" style="2"/>
    <col min="1777" max="1777" width="32.42578125" style="2" customWidth="1"/>
    <col min="1778" max="1778" width="13.28515625" style="2" customWidth="1"/>
    <col min="1779" max="1779" width="11.85546875" style="2" customWidth="1"/>
    <col min="1780" max="1780" width="13.140625" style="2" customWidth="1"/>
    <col min="1781" max="1781" width="14.42578125" style="2" customWidth="1"/>
    <col min="1782" max="1782" width="12.85546875" style="2" customWidth="1"/>
    <col min="1783" max="1788" width="12.28515625" style="2" bestFit="1" customWidth="1"/>
    <col min="1789" max="1796" width="13.85546875" style="2" bestFit="1" customWidth="1"/>
    <col min="1797" max="1797" width="16.28515625" style="2" customWidth="1"/>
    <col min="1798" max="1799" width="11.42578125" style="2"/>
    <col min="1800" max="1800" width="11.7109375" style="2" bestFit="1" customWidth="1"/>
    <col min="1801" max="1801" width="12.28515625" style="2" customWidth="1"/>
    <col min="1802" max="2032" width="11.42578125" style="2"/>
    <col min="2033" max="2033" width="32.42578125" style="2" customWidth="1"/>
    <col min="2034" max="2034" width="13.28515625" style="2" customWidth="1"/>
    <col min="2035" max="2035" width="11.85546875" style="2" customWidth="1"/>
    <col min="2036" max="2036" width="13.140625" style="2" customWidth="1"/>
    <col min="2037" max="2037" width="14.42578125" style="2" customWidth="1"/>
    <col min="2038" max="2038" width="12.85546875" style="2" customWidth="1"/>
    <col min="2039" max="2044" width="12.28515625" style="2" bestFit="1" customWidth="1"/>
    <col min="2045" max="2052" width="13.85546875" style="2" bestFit="1" customWidth="1"/>
    <col min="2053" max="2053" width="16.28515625" style="2" customWidth="1"/>
    <col min="2054" max="2055" width="11.42578125" style="2"/>
    <col min="2056" max="2056" width="11.7109375" style="2" bestFit="1" customWidth="1"/>
    <col min="2057" max="2057" width="12.28515625" style="2" customWidth="1"/>
    <col min="2058" max="2288" width="11.42578125" style="2"/>
    <col min="2289" max="2289" width="32.42578125" style="2" customWidth="1"/>
    <col min="2290" max="2290" width="13.28515625" style="2" customWidth="1"/>
    <col min="2291" max="2291" width="11.85546875" style="2" customWidth="1"/>
    <col min="2292" max="2292" width="13.140625" style="2" customWidth="1"/>
    <col min="2293" max="2293" width="14.42578125" style="2" customWidth="1"/>
    <col min="2294" max="2294" width="12.85546875" style="2" customWidth="1"/>
    <col min="2295" max="2300" width="12.28515625" style="2" bestFit="1" customWidth="1"/>
    <col min="2301" max="2308" width="13.85546875" style="2" bestFit="1" customWidth="1"/>
    <col min="2309" max="2309" width="16.28515625" style="2" customWidth="1"/>
    <col min="2310" max="2311" width="11.42578125" style="2"/>
    <col min="2312" max="2312" width="11.7109375" style="2" bestFit="1" customWidth="1"/>
    <col min="2313" max="2313" width="12.28515625" style="2" customWidth="1"/>
    <col min="2314" max="2544" width="11.42578125" style="2"/>
    <col min="2545" max="2545" width="32.42578125" style="2" customWidth="1"/>
    <col min="2546" max="2546" width="13.28515625" style="2" customWidth="1"/>
    <col min="2547" max="2547" width="11.85546875" style="2" customWidth="1"/>
    <col min="2548" max="2548" width="13.140625" style="2" customWidth="1"/>
    <col min="2549" max="2549" width="14.42578125" style="2" customWidth="1"/>
    <col min="2550" max="2550" width="12.85546875" style="2" customWidth="1"/>
    <col min="2551" max="2556" width="12.28515625" style="2" bestFit="1" customWidth="1"/>
    <col min="2557" max="2564" width="13.85546875" style="2" bestFit="1" customWidth="1"/>
    <col min="2565" max="2565" width="16.28515625" style="2" customWidth="1"/>
    <col min="2566" max="2567" width="11.42578125" style="2"/>
    <col min="2568" max="2568" width="11.7109375" style="2" bestFit="1" customWidth="1"/>
    <col min="2569" max="2569" width="12.28515625" style="2" customWidth="1"/>
    <col min="2570" max="2800" width="11.42578125" style="2"/>
    <col min="2801" max="2801" width="32.42578125" style="2" customWidth="1"/>
    <col min="2802" max="2802" width="13.28515625" style="2" customWidth="1"/>
    <col min="2803" max="2803" width="11.85546875" style="2" customWidth="1"/>
    <col min="2804" max="2804" width="13.140625" style="2" customWidth="1"/>
    <col min="2805" max="2805" width="14.42578125" style="2" customWidth="1"/>
    <col min="2806" max="2806" width="12.85546875" style="2" customWidth="1"/>
    <col min="2807" max="2812" width="12.28515625" style="2" bestFit="1" customWidth="1"/>
    <col min="2813" max="2820" width="13.85546875" style="2" bestFit="1" customWidth="1"/>
    <col min="2821" max="2821" width="16.28515625" style="2" customWidth="1"/>
    <col min="2822" max="2823" width="11.42578125" style="2"/>
    <col min="2824" max="2824" width="11.7109375" style="2" bestFit="1" customWidth="1"/>
    <col min="2825" max="2825" width="12.28515625" style="2" customWidth="1"/>
    <col min="2826" max="3056" width="11.42578125" style="2"/>
    <col min="3057" max="3057" width="32.42578125" style="2" customWidth="1"/>
    <col min="3058" max="3058" width="13.28515625" style="2" customWidth="1"/>
    <col min="3059" max="3059" width="11.85546875" style="2" customWidth="1"/>
    <col min="3060" max="3060" width="13.140625" style="2" customWidth="1"/>
    <col min="3061" max="3061" width="14.42578125" style="2" customWidth="1"/>
    <col min="3062" max="3062" width="12.85546875" style="2" customWidth="1"/>
    <col min="3063" max="3068" width="12.28515625" style="2" bestFit="1" customWidth="1"/>
    <col min="3069" max="3076" width="13.85546875" style="2" bestFit="1" customWidth="1"/>
    <col min="3077" max="3077" width="16.28515625" style="2" customWidth="1"/>
    <col min="3078" max="3079" width="11.42578125" style="2"/>
    <col min="3080" max="3080" width="11.7109375" style="2" bestFit="1" customWidth="1"/>
    <col min="3081" max="3081" width="12.28515625" style="2" customWidth="1"/>
    <col min="3082" max="3312" width="11.42578125" style="2"/>
    <col min="3313" max="3313" width="32.42578125" style="2" customWidth="1"/>
    <col min="3314" max="3314" width="13.28515625" style="2" customWidth="1"/>
    <col min="3315" max="3315" width="11.85546875" style="2" customWidth="1"/>
    <col min="3316" max="3316" width="13.140625" style="2" customWidth="1"/>
    <col min="3317" max="3317" width="14.42578125" style="2" customWidth="1"/>
    <col min="3318" max="3318" width="12.85546875" style="2" customWidth="1"/>
    <col min="3319" max="3324" width="12.28515625" style="2" bestFit="1" customWidth="1"/>
    <col min="3325" max="3332" width="13.85546875" style="2" bestFit="1" customWidth="1"/>
    <col min="3333" max="3333" width="16.28515625" style="2" customWidth="1"/>
    <col min="3334" max="3335" width="11.42578125" style="2"/>
    <col min="3336" max="3336" width="11.7109375" style="2" bestFit="1" customWidth="1"/>
    <col min="3337" max="3337" width="12.28515625" style="2" customWidth="1"/>
    <col min="3338" max="3568" width="11.42578125" style="2"/>
    <col min="3569" max="3569" width="32.42578125" style="2" customWidth="1"/>
    <col min="3570" max="3570" width="13.28515625" style="2" customWidth="1"/>
    <col min="3571" max="3571" width="11.85546875" style="2" customWidth="1"/>
    <col min="3572" max="3572" width="13.140625" style="2" customWidth="1"/>
    <col min="3573" max="3573" width="14.42578125" style="2" customWidth="1"/>
    <col min="3574" max="3574" width="12.85546875" style="2" customWidth="1"/>
    <col min="3575" max="3580" width="12.28515625" style="2" bestFit="1" customWidth="1"/>
    <col min="3581" max="3588" width="13.85546875" style="2" bestFit="1" customWidth="1"/>
    <col min="3589" max="3589" width="16.28515625" style="2" customWidth="1"/>
    <col min="3590" max="3591" width="11.42578125" style="2"/>
    <col min="3592" max="3592" width="11.7109375" style="2" bestFit="1" customWidth="1"/>
    <col min="3593" max="3593" width="12.28515625" style="2" customWidth="1"/>
    <col min="3594" max="3824" width="11.42578125" style="2"/>
    <col min="3825" max="3825" width="32.42578125" style="2" customWidth="1"/>
    <col min="3826" max="3826" width="13.28515625" style="2" customWidth="1"/>
    <col min="3827" max="3827" width="11.85546875" style="2" customWidth="1"/>
    <col min="3828" max="3828" width="13.140625" style="2" customWidth="1"/>
    <col min="3829" max="3829" width="14.42578125" style="2" customWidth="1"/>
    <col min="3830" max="3830" width="12.85546875" style="2" customWidth="1"/>
    <col min="3831" max="3836" width="12.28515625" style="2" bestFit="1" customWidth="1"/>
    <col min="3837" max="3844" width="13.85546875" style="2" bestFit="1" customWidth="1"/>
    <col min="3845" max="3845" width="16.28515625" style="2" customWidth="1"/>
    <col min="3846" max="3847" width="11.42578125" style="2"/>
    <col min="3848" max="3848" width="11.7109375" style="2" bestFit="1" customWidth="1"/>
    <col min="3849" max="3849" width="12.28515625" style="2" customWidth="1"/>
    <col min="3850" max="4080" width="11.42578125" style="2"/>
    <col min="4081" max="4081" width="32.42578125" style="2" customWidth="1"/>
    <col min="4082" max="4082" width="13.28515625" style="2" customWidth="1"/>
    <col min="4083" max="4083" width="11.85546875" style="2" customWidth="1"/>
    <col min="4084" max="4084" width="13.140625" style="2" customWidth="1"/>
    <col min="4085" max="4085" width="14.42578125" style="2" customWidth="1"/>
    <col min="4086" max="4086" width="12.85546875" style="2" customWidth="1"/>
    <col min="4087" max="4092" width="12.28515625" style="2" bestFit="1" customWidth="1"/>
    <col min="4093" max="4100" width="13.85546875" style="2" bestFit="1" customWidth="1"/>
    <col min="4101" max="4101" width="16.28515625" style="2" customWidth="1"/>
    <col min="4102" max="4103" width="11.42578125" style="2"/>
    <col min="4104" max="4104" width="11.7109375" style="2" bestFit="1" customWidth="1"/>
    <col min="4105" max="4105" width="12.28515625" style="2" customWidth="1"/>
    <col min="4106" max="4336" width="11.42578125" style="2"/>
    <col min="4337" max="4337" width="32.42578125" style="2" customWidth="1"/>
    <col min="4338" max="4338" width="13.28515625" style="2" customWidth="1"/>
    <col min="4339" max="4339" width="11.85546875" style="2" customWidth="1"/>
    <col min="4340" max="4340" width="13.140625" style="2" customWidth="1"/>
    <col min="4341" max="4341" width="14.42578125" style="2" customWidth="1"/>
    <col min="4342" max="4342" width="12.85546875" style="2" customWidth="1"/>
    <col min="4343" max="4348" width="12.28515625" style="2" bestFit="1" customWidth="1"/>
    <col min="4349" max="4356" width="13.85546875" style="2" bestFit="1" customWidth="1"/>
    <col min="4357" max="4357" width="16.28515625" style="2" customWidth="1"/>
    <col min="4358" max="4359" width="11.42578125" style="2"/>
    <col min="4360" max="4360" width="11.7109375" style="2" bestFit="1" customWidth="1"/>
    <col min="4361" max="4361" width="12.28515625" style="2" customWidth="1"/>
    <col min="4362" max="4592" width="11.42578125" style="2"/>
    <col min="4593" max="4593" width="32.42578125" style="2" customWidth="1"/>
    <col min="4594" max="4594" width="13.28515625" style="2" customWidth="1"/>
    <col min="4595" max="4595" width="11.85546875" style="2" customWidth="1"/>
    <col min="4596" max="4596" width="13.140625" style="2" customWidth="1"/>
    <col min="4597" max="4597" width="14.42578125" style="2" customWidth="1"/>
    <col min="4598" max="4598" width="12.85546875" style="2" customWidth="1"/>
    <col min="4599" max="4604" width="12.28515625" style="2" bestFit="1" customWidth="1"/>
    <col min="4605" max="4612" width="13.85546875" style="2" bestFit="1" customWidth="1"/>
    <col min="4613" max="4613" width="16.28515625" style="2" customWidth="1"/>
    <col min="4614" max="4615" width="11.42578125" style="2"/>
    <col min="4616" max="4616" width="11.7109375" style="2" bestFit="1" customWidth="1"/>
    <col min="4617" max="4617" width="12.28515625" style="2" customWidth="1"/>
    <col min="4618" max="4848" width="11.42578125" style="2"/>
    <col min="4849" max="4849" width="32.42578125" style="2" customWidth="1"/>
    <col min="4850" max="4850" width="13.28515625" style="2" customWidth="1"/>
    <col min="4851" max="4851" width="11.85546875" style="2" customWidth="1"/>
    <col min="4852" max="4852" width="13.140625" style="2" customWidth="1"/>
    <col min="4853" max="4853" width="14.42578125" style="2" customWidth="1"/>
    <col min="4854" max="4854" width="12.85546875" style="2" customWidth="1"/>
    <col min="4855" max="4860" width="12.28515625" style="2" bestFit="1" customWidth="1"/>
    <col min="4861" max="4868" width="13.85546875" style="2" bestFit="1" customWidth="1"/>
    <col min="4869" max="4869" width="16.28515625" style="2" customWidth="1"/>
    <col min="4870" max="4871" width="11.42578125" style="2"/>
    <col min="4872" max="4872" width="11.7109375" style="2" bestFit="1" customWidth="1"/>
    <col min="4873" max="4873" width="12.28515625" style="2" customWidth="1"/>
    <col min="4874" max="5104" width="11.42578125" style="2"/>
    <col min="5105" max="5105" width="32.42578125" style="2" customWidth="1"/>
    <col min="5106" max="5106" width="13.28515625" style="2" customWidth="1"/>
    <col min="5107" max="5107" width="11.85546875" style="2" customWidth="1"/>
    <col min="5108" max="5108" width="13.140625" style="2" customWidth="1"/>
    <col min="5109" max="5109" width="14.42578125" style="2" customWidth="1"/>
    <col min="5110" max="5110" width="12.85546875" style="2" customWidth="1"/>
    <col min="5111" max="5116" width="12.28515625" style="2" bestFit="1" customWidth="1"/>
    <col min="5117" max="5124" width="13.85546875" style="2" bestFit="1" customWidth="1"/>
    <col min="5125" max="5125" width="16.28515625" style="2" customWidth="1"/>
    <col min="5126" max="5127" width="11.42578125" style="2"/>
    <col min="5128" max="5128" width="11.7109375" style="2" bestFit="1" customWidth="1"/>
    <col min="5129" max="5129" width="12.28515625" style="2" customWidth="1"/>
    <col min="5130" max="5360" width="11.42578125" style="2"/>
    <col min="5361" max="5361" width="32.42578125" style="2" customWidth="1"/>
    <col min="5362" max="5362" width="13.28515625" style="2" customWidth="1"/>
    <col min="5363" max="5363" width="11.85546875" style="2" customWidth="1"/>
    <col min="5364" max="5364" width="13.140625" style="2" customWidth="1"/>
    <col min="5365" max="5365" width="14.42578125" style="2" customWidth="1"/>
    <col min="5366" max="5366" width="12.85546875" style="2" customWidth="1"/>
    <col min="5367" max="5372" width="12.28515625" style="2" bestFit="1" customWidth="1"/>
    <col min="5373" max="5380" width="13.85546875" style="2" bestFit="1" customWidth="1"/>
    <col min="5381" max="5381" width="16.28515625" style="2" customWidth="1"/>
    <col min="5382" max="5383" width="11.42578125" style="2"/>
    <col min="5384" max="5384" width="11.7109375" style="2" bestFit="1" customWidth="1"/>
    <col min="5385" max="5385" width="12.28515625" style="2" customWidth="1"/>
    <col min="5386" max="5616" width="11.42578125" style="2"/>
    <col min="5617" max="5617" width="32.42578125" style="2" customWidth="1"/>
    <col min="5618" max="5618" width="13.28515625" style="2" customWidth="1"/>
    <col min="5619" max="5619" width="11.85546875" style="2" customWidth="1"/>
    <col min="5620" max="5620" width="13.140625" style="2" customWidth="1"/>
    <col min="5621" max="5621" width="14.42578125" style="2" customWidth="1"/>
    <col min="5622" max="5622" width="12.85546875" style="2" customWidth="1"/>
    <col min="5623" max="5628" width="12.28515625" style="2" bestFit="1" customWidth="1"/>
    <col min="5629" max="5636" width="13.85546875" style="2" bestFit="1" customWidth="1"/>
    <col min="5637" max="5637" width="16.28515625" style="2" customWidth="1"/>
    <col min="5638" max="5639" width="11.42578125" style="2"/>
    <col min="5640" max="5640" width="11.7109375" style="2" bestFit="1" customWidth="1"/>
    <col min="5641" max="5641" width="12.28515625" style="2" customWidth="1"/>
    <col min="5642" max="5872" width="11.42578125" style="2"/>
    <col min="5873" max="5873" width="32.42578125" style="2" customWidth="1"/>
    <col min="5874" max="5874" width="13.28515625" style="2" customWidth="1"/>
    <col min="5875" max="5875" width="11.85546875" style="2" customWidth="1"/>
    <col min="5876" max="5876" width="13.140625" style="2" customWidth="1"/>
    <col min="5877" max="5877" width="14.42578125" style="2" customWidth="1"/>
    <col min="5878" max="5878" width="12.85546875" style="2" customWidth="1"/>
    <col min="5879" max="5884" width="12.28515625" style="2" bestFit="1" customWidth="1"/>
    <col min="5885" max="5892" width="13.85546875" style="2" bestFit="1" customWidth="1"/>
    <col min="5893" max="5893" width="16.28515625" style="2" customWidth="1"/>
    <col min="5894" max="5895" width="11.42578125" style="2"/>
    <col min="5896" max="5896" width="11.7109375" style="2" bestFit="1" customWidth="1"/>
    <col min="5897" max="5897" width="12.28515625" style="2" customWidth="1"/>
    <col min="5898" max="6128" width="11.42578125" style="2"/>
    <col min="6129" max="6129" width="32.42578125" style="2" customWidth="1"/>
    <col min="6130" max="6130" width="13.28515625" style="2" customWidth="1"/>
    <col min="6131" max="6131" width="11.85546875" style="2" customWidth="1"/>
    <col min="6132" max="6132" width="13.140625" style="2" customWidth="1"/>
    <col min="6133" max="6133" width="14.42578125" style="2" customWidth="1"/>
    <col min="6134" max="6134" width="12.85546875" style="2" customWidth="1"/>
    <col min="6135" max="6140" width="12.28515625" style="2" bestFit="1" customWidth="1"/>
    <col min="6141" max="6148" width="13.85546875" style="2" bestFit="1" customWidth="1"/>
    <col min="6149" max="6149" width="16.28515625" style="2" customWidth="1"/>
    <col min="6150" max="6151" width="11.42578125" style="2"/>
    <col min="6152" max="6152" width="11.7109375" style="2" bestFit="1" customWidth="1"/>
    <col min="6153" max="6153" width="12.28515625" style="2" customWidth="1"/>
    <col min="6154" max="6384" width="11.42578125" style="2"/>
    <col min="6385" max="6385" width="32.42578125" style="2" customWidth="1"/>
    <col min="6386" max="6386" width="13.28515625" style="2" customWidth="1"/>
    <col min="6387" max="6387" width="11.85546875" style="2" customWidth="1"/>
    <col min="6388" max="6388" width="13.140625" style="2" customWidth="1"/>
    <col min="6389" max="6389" width="14.42578125" style="2" customWidth="1"/>
    <col min="6390" max="6390" width="12.85546875" style="2" customWidth="1"/>
    <col min="6391" max="6396" width="12.28515625" style="2" bestFit="1" customWidth="1"/>
    <col min="6397" max="6404" width="13.85546875" style="2" bestFit="1" customWidth="1"/>
    <col min="6405" max="6405" width="16.28515625" style="2" customWidth="1"/>
    <col min="6406" max="6407" width="11.42578125" style="2"/>
    <col min="6408" max="6408" width="11.7109375" style="2" bestFit="1" customWidth="1"/>
    <col min="6409" max="6409" width="12.28515625" style="2" customWidth="1"/>
    <col min="6410" max="6640" width="11.42578125" style="2"/>
    <col min="6641" max="6641" width="32.42578125" style="2" customWidth="1"/>
    <col min="6642" max="6642" width="13.28515625" style="2" customWidth="1"/>
    <col min="6643" max="6643" width="11.85546875" style="2" customWidth="1"/>
    <col min="6644" max="6644" width="13.140625" style="2" customWidth="1"/>
    <col min="6645" max="6645" width="14.42578125" style="2" customWidth="1"/>
    <col min="6646" max="6646" width="12.85546875" style="2" customWidth="1"/>
    <col min="6647" max="6652" width="12.28515625" style="2" bestFit="1" customWidth="1"/>
    <col min="6653" max="6660" width="13.85546875" style="2" bestFit="1" customWidth="1"/>
    <col min="6661" max="6661" width="16.28515625" style="2" customWidth="1"/>
    <col min="6662" max="6663" width="11.42578125" style="2"/>
    <col min="6664" max="6664" width="11.7109375" style="2" bestFit="1" customWidth="1"/>
    <col min="6665" max="6665" width="12.28515625" style="2" customWidth="1"/>
    <col min="6666" max="6896" width="11.42578125" style="2"/>
    <col min="6897" max="6897" width="32.42578125" style="2" customWidth="1"/>
    <col min="6898" max="6898" width="13.28515625" style="2" customWidth="1"/>
    <col min="6899" max="6899" width="11.85546875" style="2" customWidth="1"/>
    <col min="6900" max="6900" width="13.140625" style="2" customWidth="1"/>
    <col min="6901" max="6901" width="14.42578125" style="2" customWidth="1"/>
    <col min="6902" max="6902" width="12.85546875" style="2" customWidth="1"/>
    <col min="6903" max="6908" width="12.28515625" style="2" bestFit="1" customWidth="1"/>
    <col min="6909" max="6916" width="13.85546875" style="2" bestFit="1" customWidth="1"/>
    <col min="6917" max="6917" width="16.28515625" style="2" customWidth="1"/>
    <col min="6918" max="6919" width="11.42578125" style="2"/>
    <col min="6920" max="6920" width="11.7109375" style="2" bestFit="1" customWidth="1"/>
    <col min="6921" max="6921" width="12.28515625" style="2" customWidth="1"/>
    <col min="6922" max="7152" width="11.42578125" style="2"/>
    <col min="7153" max="7153" width="32.42578125" style="2" customWidth="1"/>
    <col min="7154" max="7154" width="13.28515625" style="2" customWidth="1"/>
    <col min="7155" max="7155" width="11.85546875" style="2" customWidth="1"/>
    <col min="7156" max="7156" width="13.140625" style="2" customWidth="1"/>
    <col min="7157" max="7157" width="14.42578125" style="2" customWidth="1"/>
    <col min="7158" max="7158" width="12.85546875" style="2" customWidth="1"/>
    <col min="7159" max="7164" width="12.28515625" style="2" bestFit="1" customWidth="1"/>
    <col min="7165" max="7172" width="13.85546875" style="2" bestFit="1" customWidth="1"/>
    <col min="7173" max="7173" width="16.28515625" style="2" customWidth="1"/>
    <col min="7174" max="7175" width="11.42578125" style="2"/>
    <col min="7176" max="7176" width="11.7109375" style="2" bestFit="1" customWidth="1"/>
    <col min="7177" max="7177" width="12.28515625" style="2" customWidth="1"/>
    <col min="7178" max="7408" width="11.42578125" style="2"/>
    <col min="7409" max="7409" width="32.42578125" style="2" customWidth="1"/>
    <col min="7410" max="7410" width="13.28515625" style="2" customWidth="1"/>
    <col min="7411" max="7411" width="11.85546875" style="2" customWidth="1"/>
    <col min="7412" max="7412" width="13.140625" style="2" customWidth="1"/>
    <col min="7413" max="7413" width="14.42578125" style="2" customWidth="1"/>
    <col min="7414" max="7414" width="12.85546875" style="2" customWidth="1"/>
    <col min="7415" max="7420" width="12.28515625" style="2" bestFit="1" customWidth="1"/>
    <col min="7421" max="7428" width="13.85546875" style="2" bestFit="1" customWidth="1"/>
    <col min="7429" max="7429" width="16.28515625" style="2" customWidth="1"/>
    <col min="7430" max="7431" width="11.42578125" style="2"/>
    <col min="7432" max="7432" width="11.7109375" style="2" bestFit="1" customWidth="1"/>
    <col min="7433" max="7433" width="12.28515625" style="2" customWidth="1"/>
    <col min="7434" max="7664" width="11.42578125" style="2"/>
    <col min="7665" max="7665" width="32.42578125" style="2" customWidth="1"/>
    <col min="7666" max="7666" width="13.28515625" style="2" customWidth="1"/>
    <col min="7667" max="7667" width="11.85546875" style="2" customWidth="1"/>
    <col min="7668" max="7668" width="13.140625" style="2" customWidth="1"/>
    <col min="7669" max="7669" width="14.42578125" style="2" customWidth="1"/>
    <col min="7670" max="7670" width="12.85546875" style="2" customWidth="1"/>
    <col min="7671" max="7676" width="12.28515625" style="2" bestFit="1" customWidth="1"/>
    <col min="7677" max="7684" width="13.85546875" style="2" bestFit="1" customWidth="1"/>
    <col min="7685" max="7685" width="16.28515625" style="2" customWidth="1"/>
    <col min="7686" max="7687" width="11.42578125" style="2"/>
    <col min="7688" max="7688" width="11.7109375" style="2" bestFit="1" customWidth="1"/>
    <col min="7689" max="7689" width="12.28515625" style="2" customWidth="1"/>
    <col min="7690" max="7920" width="11.42578125" style="2"/>
    <col min="7921" max="7921" width="32.42578125" style="2" customWidth="1"/>
    <col min="7922" max="7922" width="13.28515625" style="2" customWidth="1"/>
    <col min="7923" max="7923" width="11.85546875" style="2" customWidth="1"/>
    <col min="7924" max="7924" width="13.140625" style="2" customWidth="1"/>
    <col min="7925" max="7925" width="14.42578125" style="2" customWidth="1"/>
    <col min="7926" max="7926" width="12.85546875" style="2" customWidth="1"/>
    <col min="7927" max="7932" width="12.28515625" style="2" bestFit="1" customWidth="1"/>
    <col min="7933" max="7940" width="13.85546875" style="2" bestFit="1" customWidth="1"/>
    <col min="7941" max="7941" width="16.28515625" style="2" customWidth="1"/>
    <col min="7942" max="7943" width="11.42578125" style="2"/>
    <col min="7944" max="7944" width="11.7109375" style="2" bestFit="1" customWidth="1"/>
    <col min="7945" max="7945" width="12.28515625" style="2" customWidth="1"/>
    <col min="7946" max="8176" width="11.42578125" style="2"/>
    <col min="8177" max="8177" width="32.42578125" style="2" customWidth="1"/>
    <col min="8178" max="8178" width="13.28515625" style="2" customWidth="1"/>
    <col min="8179" max="8179" width="11.85546875" style="2" customWidth="1"/>
    <col min="8180" max="8180" width="13.140625" style="2" customWidth="1"/>
    <col min="8181" max="8181" width="14.42578125" style="2" customWidth="1"/>
    <col min="8182" max="8182" width="12.85546875" style="2" customWidth="1"/>
    <col min="8183" max="8188" width="12.28515625" style="2" bestFit="1" customWidth="1"/>
    <col min="8189" max="8196" width="13.85546875" style="2" bestFit="1" customWidth="1"/>
    <col min="8197" max="8197" width="16.28515625" style="2" customWidth="1"/>
    <col min="8198" max="8199" width="11.42578125" style="2"/>
    <col min="8200" max="8200" width="11.7109375" style="2" bestFit="1" customWidth="1"/>
    <col min="8201" max="8201" width="12.28515625" style="2" customWidth="1"/>
    <col min="8202" max="8432" width="11.42578125" style="2"/>
    <col min="8433" max="8433" width="32.42578125" style="2" customWidth="1"/>
    <col min="8434" max="8434" width="13.28515625" style="2" customWidth="1"/>
    <col min="8435" max="8435" width="11.85546875" style="2" customWidth="1"/>
    <col min="8436" max="8436" width="13.140625" style="2" customWidth="1"/>
    <col min="8437" max="8437" width="14.42578125" style="2" customWidth="1"/>
    <col min="8438" max="8438" width="12.85546875" style="2" customWidth="1"/>
    <col min="8439" max="8444" width="12.28515625" style="2" bestFit="1" customWidth="1"/>
    <col min="8445" max="8452" width="13.85546875" style="2" bestFit="1" customWidth="1"/>
    <col min="8453" max="8453" width="16.28515625" style="2" customWidth="1"/>
    <col min="8454" max="8455" width="11.42578125" style="2"/>
    <col min="8456" max="8456" width="11.7109375" style="2" bestFit="1" customWidth="1"/>
    <col min="8457" max="8457" width="12.28515625" style="2" customWidth="1"/>
    <col min="8458" max="8688" width="11.42578125" style="2"/>
    <col min="8689" max="8689" width="32.42578125" style="2" customWidth="1"/>
    <col min="8690" max="8690" width="13.28515625" style="2" customWidth="1"/>
    <col min="8691" max="8691" width="11.85546875" style="2" customWidth="1"/>
    <col min="8692" max="8692" width="13.140625" style="2" customWidth="1"/>
    <col min="8693" max="8693" width="14.42578125" style="2" customWidth="1"/>
    <col min="8694" max="8694" width="12.85546875" style="2" customWidth="1"/>
    <col min="8695" max="8700" width="12.28515625" style="2" bestFit="1" customWidth="1"/>
    <col min="8701" max="8708" width="13.85546875" style="2" bestFit="1" customWidth="1"/>
    <col min="8709" max="8709" width="16.28515625" style="2" customWidth="1"/>
    <col min="8710" max="8711" width="11.42578125" style="2"/>
    <col min="8712" max="8712" width="11.7109375" style="2" bestFit="1" customWidth="1"/>
    <col min="8713" max="8713" width="12.28515625" style="2" customWidth="1"/>
    <col min="8714" max="8944" width="11.42578125" style="2"/>
    <col min="8945" max="8945" width="32.42578125" style="2" customWidth="1"/>
    <col min="8946" max="8946" width="13.28515625" style="2" customWidth="1"/>
    <col min="8947" max="8947" width="11.85546875" style="2" customWidth="1"/>
    <col min="8948" max="8948" width="13.140625" style="2" customWidth="1"/>
    <col min="8949" max="8949" width="14.42578125" style="2" customWidth="1"/>
    <col min="8950" max="8950" width="12.85546875" style="2" customWidth="1"/>
    <col min="8951" max="8956" width="12.28515625" style="2" bestFit="1" customWidth="1"/>
    <col min="8957" max="8964" width="13.85546875" style="2" bestFit="1" customWidth="1"/>
    <col min="8965" max="8965" width="16.28515625" style="2" customWidth="1"/>
    <col min="8966" max="8967" width="11.42578125" style="2"/>
    <col min="8968" max="8968" width="11.7109375" style="2" bestFit="1" customWidth="1"/>
    <col min="8969" max="8969" width="12.28515625" style="2" customWidth="1"/>
    <col min="8970" max="9200" width="11.42578125" style="2"/>
    <col min="9201" max="9201" width="32.42578125" style="2" customWidth="1"/>
    <col min="9202" max="9202" width="13.28515625" style="2" customWidth="1"/>
    <col min="9203" max="9203" width="11.85546875" style="2" customWidth="1"/>
    <col min="9204" max="9204" width="13.140625" style="2" customWidth="1"/>
    <col min="9205" max="9205" width="14.42578125" style="2" customWidth="1"/>
    <col min="9206" max="9206" width="12.85546875" style="2" customWidth="1"/>
    <col min="9207" max="9212" width="12.28515625" style="2" bestFit="1" customWidth="1"/>
    <col min="9213" max="9220" width="13.85546875" style="2" bestFit="1" customWidth="1"/>
    <col min="9221" max="9221" width="16.28515625" style="2" customWidth="1"/>
    <col min="9222" max="9223" width="11.42578125" style="2"/>
    <col min="9224" max="9224" width="11.7109375" style="2" bestFit="1" customWidth="1"/>
    <col min="9225" max="9225" width="12.28515625" style="2" customWidth="1"/>
    <col min="9226" max="9456" width="11.42578125" style="2"/>
    <col min="9457" max="9457" width="32.42578125" style="2" customWidth="1"/>
    <col min="9458" max="9458" width="13.28515625" style="2" customWidth="1"/>
    <col min="9459" max="9459" width="11.85546875" style="2" customWidth="1"/>
    <col min="9460" max="9460" width="13.140625" style="2" customWidth="1"/>
    <col min="9461" max="9461" width="14.42578125" style="2" customWidth="1"/>
    <col min="9462" max="9462" width="12.85546875" style="2" customWidth="1"/>
    <col min="9463" max="9468" width="12.28515625" style="2" bestFit="1" customWidth="1"/>
    <col min="9469" max="9476" width="13.85546875" style="2" bestFit="1" customWidth="1"/>
    <col min="9477" max="9477" width="16.28515625" style="2" customWidth="1"/>
    <col min="9478" max="9479" width="11.42578125" style="2"/>
    <col min="9480" max="9480" width="11.7109375" style="2" bestFit="1" customWidth="1"/>
    <col min="9481" max="9481" width="12.28515625" style="2" customWidth="1"/>
    <col min="9482" max="9712" width="11.42578125" style="2"/>
    <col min="9713" max="9713" width="32.42578125" style="2" customWidth="1"/>
    <col min="9714" max="9714" width="13.28515625" style="2" customWidth="1"/>
    <col min="9715" max="9715" width="11.85546875" style="2" customWidth="1"/>
    <col min="9716" max="9716" width="13.140625" style="2" customWidth="1"/>
    <col min="9717" max="9717" width="14.42578125" style="2" customWidth="1"/>
    <col min="9718" max="9718" width="12.85546875" style="2" customWidth="1"/>
    <col min="9719" max="9724" width="12.28515625" style="2" bestFit="1" customWidth="1"/>
    <col min="9725" max="9732" width="13.85546875" style="2" bestFit="1" customWidth="1"/>
    <col min="9733" max="9733" width="16.28515625" style="2" customWidth="1"/>
    <col min="9734" max="9735" width="11.42578125" style="2"/>
    <col min="9736" max="9736" width="11.7109375" style="2" bestFit="1" customWidth="1"/>
    <col min="9737" max="9737" width="12.28515625" style="2" customWidth="1"/>
    <col min="9738" max="9968" width="11.42578125" style="2"/>
    <col min="9969" max="9969" width="32.42578125" style="2" customWidth="1"/>
    <col min="9970" max="9970" width="13.28515625" style="2" customWidth="1"/>
    <col min="9971" max="9971" width="11.85546875" style="2" customWidth="1"/>
    <col min="9972" max="9972" width="13.140625" style="2" customWidth="1"/>
    <col min="9973" max="9973" width="14.42578125" style="2" customWidth="1"/>
    <col min="9974" max="9974" width="12.85546875" style="2" customWidth="1"/>
    <col min="9975" max="9980" width="12.28515625" style="2" bestFit="1" customWidth="1"/>
    <col min="9981" max="9988" width="13.85546875" style="2" bestFit="1" customWidth="1"/>
    <col min="9989" max="9989" width="16.28515625" style="2" customWidth="1"/>
    <col min="9990" max="9991" width="11.42578125" style="2"/>
    <col min="9992" max="9992" width="11.7109375" style="2" bestFit="1" customWidth="1"/>
    <col min="9993" max="9993" width="12.28515625" style="2" customWidth="1"/>
    <col min="9994" max="10224" width="11.42578125" style="2"/>
    <col min="10225" max="10225" width="32.42578125" style="2" customWidth="1"/>
    <col min="10226" max="10226" width="13.28515625" style="2" customWidth="1"/>
    <col min="10227" max="10227" width="11.85546875" style="2" customWidth="1"/>
    <col min="10228" max="10228" width="13.140625" style="2" customWidth="1"/>
    <col min="10229" max="10229" width="14.42578125" style="2" customWidth="1"/>
    <col min="10230" max="10230" width="12.85546875" style="2" customWidth="1"/>
    <col min="10231" max="10236" width="12.28515625" style="2" bestFit="1" customWidth="1"/>
    <col min="10237" max="10244" width="13.85546875" style="2" bestFit="1" customWidth="1"/>
    <col min="10245" max="10245" width="16.28515625" style="2" customWidth="1"/>
    <col min="10246" max="10247" width="11.42578125" style="2"/>
    <col min="10248" max="10248" width="11.7109375" style="2" bestFit="1" customWidth="1"/>
    <col min="10249" max="10249" width="12.28515625" style="2" customWidth="1"/>
    <col min="10250" max="10480" width="11.42578125" style="2"/>
    <col min="10481" max="10481" width="32.42578125" style="2" customWidth="1"/>
    <col min="10482" max="10482" width="13.28515625" style="2" customWidth="1"/>
    <col min="10483" max="10483" width="11.85546875" style="2" customWidth="1"/>
    <col min="10484" max="10484" width="13.140625" style="2" customWidth="1"/>
    <col min="10485" max="10485" width="14.42578125" style="2" customWidth="1"/>
    <col min="10486" max="10486" width="12.85546875" style="2" customWidth="1"/>
    <col min="10487" max="10492" width="12.28515625" style="2" bestFit="1" customWidth="1"/>
    <col min="10493" max="10500" width="13.85546875" style="2" bestFit="1" customWidth="1"/>
    <col min="10501" max="10501" width="16.28515625" style="2" customWidth="1"/>
    <col min="10502" max="10503" width="11.42578125" style="2"/>
    <col min="10504" max="10504" width="11.7109375" style="2" bestFit="1" customWidth="1"/>
    <col min="10505" max="10505" width="12.28515625" style="2" customWidth="1"/>
    <col min="10506" max="10736" width="11.42578125" style="2"/>
    <col min="10737" max="10737" width="32.42578125" style="2" customWidth="1"/>
    <col min="10738" max="10738" width="13.28515625" style="2" customWidth="1"/>
    <col min="10739" max="10739" width="11.85546875" style="2" customWidth="1"/>
    <col min="10740" max="10740" width="13.140625" style="2" customWidth="1"/>
    <col min="10741" max="10741" width="14.42578125" style="2" customWidth="1"/>
    <col min="10742" max="10742" width="12.85546875" style="2" customWidth="1"/>
    <col min="10743" max="10748" width="12.28515625" style="2" bestFit="1" customWidth="1"/>
    <col min="10749" max="10756" width="13.85546875" style="2" bestFit="1" customWidth="1"/>
    <col min="10757" max="10757" width="16.28515625" style="2" customWidth="1"/>
    <col min="10758" max="10759" width="11.42578125" style="2"/>
    <col min="10760" max="10760" width="11.7109375" style="2" bestFit="1" customWidth="1"/>
    <col min="10761" max="10761" width="12.28515625" style="2" customWidth="1"/>
    <col min="10762" max="10992" width="11.42578125" style="2"/>
    <col min="10993" max="10993" width="32.42578125" style="2" customWidth="1"/>
    <col min="10994" max="10994" width="13.28515625" style="2" customWidth="1"/>
    <col min="10995" max="10995" width="11.85546875" style="2" customWidth="1"/>
    <col min="10996" max="10996" width="13.140625" style="2" customWidth="1"/>
    <col min="10997" max="10997" width="14.42578125" style="2" customWidth="1"/>
    <col min="10998" max="10998" width="12.85546875" style="2" customWidth="1"/>
    <col min="10999" max="11004" width="12.28515625" style="2" bestFit="1" customWidth="1"/>
    <col min="11005" max="11012" width="13.85546875" style="2" bestFit="1" customWidth="1"/>
    <col min="11013" max="11013" width="16.28515625" style="2" customWidth="1"/>
    <col min="11014" max="11015" width="11.42578125" style="2"/>
    <col min="11016" max="11016" width="11.7109375" style="2" bestFit="1" customWidth="1"/>
    <col min="11017" max="11017" width="12.28515625" style="2" customWidth="1"/>
    <col min="11018" max="11248" width="11.42578125" style="2"/>
    <col min="11249" max="11249" width="32.42578125" style="2" customWidth="1"/>
    <col min="11250" max="11250" width="13.28515625" style="2" customWidth="1"/>
    <col min="11251" max="11251" width="11.85546875" style="2" customWidth="1"/>
    <col min="11252" max="11252" width="13.140625" style="2" customWidth="1"/>
    <col min="11253" max="11253" width="14.42578125" style="2" customWidth="1"/>
    <col min="11254" max="11254" width="12.85546875" style="2" customWidth="1"/>
    <col min="11255" max="11260" width="12.28515625" style="2" bestFit="1" customWidth="1"/>
    <col min="11261" max="11268" width="13.85546875" style="2" bestFit="1" customWidth="1"/>
    <col min="11269" max="11269" width="16.28515625" style="2" customWidth="1"/>
    <col min="11270" max="11271" width="11.42578125" style="2"/>
    <col min="11272" max="11272" width="11.7109375" style="2" bestFit="1" customWidth="1"/>
    <col min="11273" max="11273" width="12.28515625" style="2" customWidth="1"/>
    <col min="11274" max="11504" width="11.42578125" style="2"/>
    <col min="11505" max="11505" width="32.42578125" style="2" customWidth="1"/>
    <col min="11506" max="11506" width="13.28515625" style="2" customWidth="1"/>
    <col min="11507" max="11507" width="11.85546875" style="2" customWidth="1"/>
    <col min="11508" max="11508" width="13.140625" style="2" customWidth="1"/>
    <col min="11509" max="11509" width="14.42578125" style="2" customWidth="1"/>
    <col min="11510" max="11510" width="12.85546875" style="2" customWidth="1"/>
    <col min="11511" max="11516" width="12.28515625" style="2" bestFit="1" customWidth="1"/>
    <col min="11517" max="11524" width="13.85546875" style="2" bestFit="1" customWidth="1"/>
    <col min="11525" max="11525" width="16.28515625" style="2" customWidth="1"/>
    <col min="11526" max="11527" width="11.42578125" style="2"/>
    <col min="11528" max="11528" width="11.7109375" style="2" bestFit="1" customWidth="1"/>
    <col min="11529" max="11529" width="12.28515625" style="2" customWidth="1"/>
    <col min="11530" max="11760" width="11.42578125" style="2"/>
    <col min="11761" max="11761" width="32.42578125" style="2" customWidth="1"/>
    <col min="11762" max="11762" width="13.28515625" style="2" customWidth="1"/>
    <col min="11763" max="11763" width="11.85546875" style="2" customWidth="1"/>
    <col min="11764" max="11764" width="13.140625" style="2" customWidth="1"/>
    <col min="11765" max="11765" width="14.42578125" style="2" customWidth="1"/>
    <col min="11766" max="11766" width="12.85546875" style="2" customWidth="1"/>
    <col min="11767" max="11772" width="12.28515625" style="2" bestFit="1" customWidth="1"/>
    <col min="11773" max="11780" width="13.85546875" style="2" bestFit="1" customWidth="1"/>
    <col min="11781" max="11781" width="16.28515625" style="2" customWidth="1"/>
    <col min="11782" max="11783" width="11.42578125" style="2"/>
    <col min="11784" max="11784" width="11.7109375" style="2" bestFit="1" customWidth="1"/>
    <col min="11785" max="11785" width="12.28515625" style="2" customWidth="1"/>
    <col min="11786" max="12016" width="11.42578125" style="2"/>
    <col min="12017" max="12017" width="32.42578125" style="2" customWidth="1"/>
    <col min="12018" max="12018" width="13.28515625" style="2" customWidth="1"/>
    <col min="12019" max="12019" width="11.85546875" style="2" customWidth="1"/>
    <col min="12020" max="12020" width="13.140625" style="2" customWidth="1"/>
    <col min="12021" max="12021" width="14.42578125" style="2" customWidth="1"/>
    <col min="12022" max="12022" width="12.85546875" style="2" customWidth="1"/>
    <col min="12023" max="12028" width="12.28515625" style="2" bestFit="1" customWidth="1"/>
    <col min="12029" max="12036" width="13.85546875" style="2" bestFit="1" customWidth="1"/>
    <col min="12037" max="12037" width="16.28515625" style="2" customWidth="1"/>
    <col min="12038" max="12039" width="11.42578125" style="2"/>
    <col min="12040" max="12040" width="11.7109375" style="2" bestFit="1" customWidth="1"/>
    <col min="12041" max="12041" width="12.28515625" style="2" customWidth="1"/>
    <col min="12042" max="12272" width="11.42578125" style="2"/>
    <col min="12273" max="12273" width="32.42578125" style="2" customWidth="1"/>
    <col min="12274" max="12274" width="13.28515625" style="2" customWidth="1"/>
    <col min="12275" max="12275" width="11.85546875" style="2" customWidth="1"/>
    <col min="12276" max="12276" width="13.140625" style="2" customWidth="1"/>
    <col min="12277" max="12277" width="14.42578125" style="2" customWidth="1"/>
    <col min="12278" max="12278" width="12.85546875" style="2" customWidth="1"/>
    <col min="12279" max="12284" width="12.28515625" style="2" bestFit="1" customWidth="1"/>
    <col min="12285" max="12292" width="13.85546875" style="2" bestFit="1" customWidth="1"/>
    <col min="12293" max="12293" width="16.28515625" style="2" customWidth="1"/>
    <col min="12294" max="12295" width="11.42578125" style="2"/>
    <col min="12296" max="12296" width="11.7109375" style="2" bestFit="1" customWidth="1"/>
    <col min="12297" max="12297" width="12.28515625" style="2" customWidth="1"/>
    <col min="12298" max="12528" width="11.42578125" style="2"/>
    <col min="12529" max="12529" width="32.42578125" style="2" customWidth="1"/>
    <col min="12530" max="12530" width="13.28515625" style="2" customWidth="1"/>
    <col min="12531" max="12531" width="11.85546875" style="2" customWidth="1"/>
    <col min="12532" max="12532" width="13.140625" style="2" customWidth="1"/>
    <col min="12533" max="12533" width="14.42578125" style="2" customWidth="1"/>
    <col min="12534" max="12534" width="12.85546875" style="2" customWidth="1"/>
    <col min="12535" max="12540" width="12.28515625" style="2" bestFit="1" customWidth="1"/>
    <col min="12541" max="12548" width="13.85546875" style="2" bestFit="1" customWidth="1"/>
    <col min="12549" max="12549" width="16.28515625" style="2" customWidth="1"/>
    <col min="12550" max="12551" width="11.42578125" style="2"/>
    <col min="12552" max="12552" width="11.7109375" style="2" bestFit="1" customWidth="1"/>
    <col min="12553" max="12553" width="12.28515625" style="2" customWidth="1"/>
    <col min="12554" max="12784" width="11.42578125" style="2"/>
    <col min="12785" max="12785" width="32.42578125" style="2" customWidth="1"/>
    <col min="12786" max="12786" width="13.28515625" style="2" customWidth="1"/>
    <col min="12787" max="12787" width="11.85546875" style="2" customWidth="1"/>
    <col min="12788" max="12788" width="13.140625" style="2" customWidth="1"/>
    <col min="12789" max="12789" width="14.42578125" style="2" customWidth="1"/>
    <col min="12790" max="12790" width="12.85546875" style="2" customWidth="1"/>
    <col min="12791" max="12796" width="12.28515625" style="2" bestFit="1" customWidth="1"/>
    <col min="12797" max="12804" width="13.85546875" style="2" bestFit="1" customWidth="1"/>
    <col min="12805" max="12805" width="16.28515625" style="2" customWidth="1"/>
    <col min="12806" max="12807" width="11.42578125" style="2"/>
    <col min="12808" max="12808" width="11.7109375" style="2" bestFit="1" customWidth="1"/>
    <col min="12809" max="12809" width="12.28515625" style="2" customWidth="1"/>
    <col min="12810" max="13040" width="11.42578125" style="2"/>
    <col min="13041" max="13041" width="32.42578125" style="2" customWidth="1"/>
    <col min="13042" max="13042" width="13.28515625" style="2" customWidth="1"/>
    <col min="13043" max="13043" width="11.85546875" style="2" customWidth="1"/>
    <col min="13044" max="13044" width="13.140625" style="2" customWidth="1"/>
    <col min="13045" max="13045" width="14.42578125" style="2" customWidth="1"/>
    <col min="13046" max="13046" width="12.85546875" style="2" customWidth="1"/>
    <col min="13047" max="13052" width="12.28515625" style="2" bestFit="1" customWidth="1"/>
    <col min="13053" max="13060" width="13.85546875" style="2" bestFit="1" customWidth="1"/>
    <col min="13061" max="13061" width="16.28515625" style="2" customWidth="1"/>
    <col min="13062" max="13063" width="11.42578125" style="2"/>
    <col min="13064" max="13064" width="11.7109375" style="2" bestFit="1" customWidth="1"/>
    <col min="13065" max="13065" width="12.28515625" style="2" customWidth="1"/>
    <col min="13066" max="13296" width="11.42578125" style="2"/>
    <col min="13297" max="13297" width="32.42578125" style="2" customWidth="1"/>
    <col min="13298" max="13298" width="13.28515625" style="2" customWidth="1"/>
    <col min="13299" max="13299" width="11.85546875" style="2" customWidth="1"/>
    <col min="13300" max="13300" width="13.140625" style="2" customWidth="1"/>
    <col min="13301" max="13301" width="14.42578125" style="2" customWidth="1"/>
    <col min="13302" max="13302" width="12.85546875" style="2" customWidth="1"/>
    <col min="13303" max="13308" width="12.28515625" style="2" bestFit="1" customWidth="1"/>
    <col min="13309" max="13316" width="13.85546875" style="2" bestFit="1" customWidth="1"/>
    <col min="13317" max="13317" width="16.28515625" style="2" customWidth="1"/>
    <col min="13318" max="13319" width="11.42578125" style="2"/>
    <col min="13320" max="13320" width="11.7109375" style="2" bestFit="1" customWidth="1"/>
    <col min="13321" max="13321" width="12.28515625" style="2" customWidth="1"/>
    <col min="13322" max="13552" width="11.42578125" style="2"/>
    <col min="13553" max="13553" width="32.42578125" style="2" customWidth="1"/>
    <col min="13554" max="13554" width="13.28515625" style="2" customWidth="1"/>
    <col min="13555" max="13555" width="11.85546875" style="2" customWidth="1"/>
    <col min="13556" max="13556" width="13.140625" style="2" customWidth="1"/>
    <col min="13557" max="13557" width="14.42578125" style="2" customWidth="1"/>
    <col min="13558" max="13558" width="12.85546875" style="2" customWidth="1"/>
    <col min="13559" max="13564" width="12.28515625" style="2" bestFit="1" customWidth="1"/>
    <col min="13565" max="13572" width="13.85546875" style="2" bestFit="1" customWidth="1"/>
    <col min="13573" max="13573" width="16.28515625" style="2" customWidth="1"/>
    <col min="13574" max="13575" width="11.42578125" style="2"/>
    <col min="13576" max="13576" width="11.7109375" style="2" bestFit="1" customWidth="1"/>
    <col min="13577" max="13577" width="12.28515625" style="2" customWidth="1"/>
    <col min="13578" max="13808" width="11.42578125" style="2"/>
    <col min="13809" max="13809" width="32.42578125" style="2" customWidth="1"/>
    <col min="13810" max="13810" width="13.28515625" style="2" customWidth="1"/>
    <col min="13811" max="13811" width="11.85546875" style="2" customWidth="1"/>
    <col min="13812" max="13812" width="13.140625" style="2" customWidth="1"/>
    <col min="13813" max="13813" width="14.42578125" style="2" customWidth="1"/>
    <col min="13814" max="13814" width="12.85546875" style="2" customWidth="1"/>
    <col min="13815" max="13820" width="12.28515625" style="2" bestFit="1" customWidth="1"/>
    <col min="13821" max="13828" width="13.85546875" style="2" bestFit="1" customWidth="1"/>
    <col min="13829" max="13829" width="16.28515625" style="2" customWidth="1"/>
    <col min="13830" max="13831" width="11.42578125" style="2"/>
    <col min="13832" max="13832" width="11.7109375" style="2" bestFit="1" customWidth="1"/>
    <col min="13833" max="13833" width="12.28515625" style="2" customWidth="1"/>
    <col min="13834" max="14064" width="11.42578125" style="2"/>
    <col min="14065" max="14065" width="32.42578125" style="2" customWidth="1"/>
    <col min="14066" max="14066" width="13.28515625" style="2" customWidth="1"/>
    <col min="14067" max="14067" width="11.85546875" style="2" customWidth="1"/>
    <col min="14068" max="14068" width="13.140625" style="2" customWidth="1"/>
    <col min="14069" max="14069" width="14.42578125" style="2" customWidth="1"/>
    <col min="14070" max="14070" width="12.85546875" style="2" customWidth="1"/>
    <col min="14071" max="14076" width="12.28515625" style="2" bestFit="1" customWidth="1"/>
    <col min="14077" max="14084" width="13.85546875" style="2" bestFit="1" customWidth="1"/>
    <col min="14085" max="14085" width="16.28515625" style="2" customWidth="1"/>
    <col min="14086" max="14087" width="11.42578125" style="2"/>
    <col min="14088" max="14088" width="11.7109375" style="2" bestFit="1" customWidth="1"/>
    <col min="14089" max="14089" width="12.28515625" style="2" customWidth="1"/>
    <col min="14090" max="14320" width="11.42578125" style="2"/>
    <col min="14321" max="14321" width="32.42578125" style="2" customWidth="1"/>
    <col min="14322" max="14322" width="13.28515625" style="2" customWidth="1"/>
    <col min="14323" max="14323" width="11.85546875" style="2" customWidth="1"/>
    <col min="14324" max="14324" width="13.140625" style="2" customWidth="1"/>
    <col min="14325" max="14325" width="14.42578125" style="2" customWidth="1"/>
    <col min="14326" max="14326" width="12.85546875" style="2" customWidth="1"/>
    <col min="14327" max="14332" width="12.28515625" style="2" bestFit="1" customWidth="1"/>
    <col min="14333" max="14340" width="13.85546875" style="2" bestFit="1" customWidth="1"/>
    <col min="14341" max="14341" width="16.28515625" style="2" customWidth="1"/>
    <col min="14342" max="14343" width="11.42578125" style="2"/>
    <col min="14344" max="14344" width="11.7109375" style="2" bestFit="1" customWidth="1"/>
    <col min="14345" max="14345" width="12.28515625" style="2" customWidth="1"/>
    <col min="14346" max="14576" width="11.42578125" style="2"/>
    <col min="14577" max="14577" width="32.42578125" style="2" customWidth="1"/>
    <col min="14578" max="14578" width="13.28515625" style="2" customWidth="1"/>
    <col min="14579" max="14579" width="11.85546875" style="2" customWidth="1"/>
    <col min="14580" max="14580" width="13.140625" style="2" customWidth="1"/>
    <col min="14581" max="14581" width="14.42578125" style="2" customWidth="1"/>
    <col min="14582" max="14582" width="12.85546875" style="2" customWidth="1"/>
    <col min="14583" max="14588" width="12.28515625" style="2" bestFit="1" customWidth="1"/>
    <col min="14589" max="14596" width="13.85546875" style="2" bestFit="1" customWidth="1"/>
    <col min="14597" max="14597" width="16.28515625" style="2" customWidth="1"/>
    <col min="14598" max="14599" width="11.42578125" style="2"/>
    <col min="14600" max="14600" width="11.7109375" style="2" bestFit="1" customWidth="1"/>
    <col min="14601" max="14601" width="12.28515625" style="2" customWidth="1"/>
    <col min="14602" max="14832" width="11.42578125" style="2"/>
    <col min="14833" max="14833" width="32.42578125" style="2" customWidth="1"/>
    <col min="14834" max="14834" width="13.28515625" style="2" customWidth="1"/>
    <col min="14835" max="14835" width="11.85546875" style="2" customWidth="1"/>
    <col min="14836" max="14836" width="13.140625" style="2" customWidth="1"/>
    <col min="14837" max="14837" width="14.42578125" style="2" customWidth="1"/>
    <col min="14838" max="14838" width="12.85546875" style="2" customWidth="1"/>
    <col min="14839" max="14844" width="12.28515625" style="2" bestFit="1" customWidth="1"/>
    <col min="14845" max="14852" width="13.85546875" style="2" bestFit="1" customWidth="1"/>
    <col min="14853" max="14853" width="16.28515625" style="2" customWidth="1"/>
    <col min="14854" max="14855" width="11.42578125" style="2"/>
    <col min="14856" max="14856" width="11.7109375" style="2" bestFit="1" customWidth="1"/>
    <col min="14857" max="14857" width="12.28515625" style="2" customWidth="1"/>
    <col min="14858" max="15088" width="11.42578125" style="2"/>
    <col min="15089" max="15089" width="32.42578125" style="2" customWidth="1"/>
    <col min="15090" max="15090" width="13.28515625" style="2" customWidth="1"/>
    <col min="15091" max="15091" width="11.85546875" style="2" customWidth="1"/>
    <col min="15092" max="15092" width="13.140625" style="2" customWidth="1"/>
    <col min="15093" max="15093" width="14.42578125" style="2" customWidth="1"/>
    <col min="15094" max="15094" width="12.85546875" style="2" customWidth="1"/>
    <col min="15095" max="15100" width="12.28515625" style="2" bestFit="1" customWidth="1"/>
    <col min="15101" max="15108" width="13.85546875" style="2" bestFit="1" customWidth="1"/>
    <col min="15109" max="15109" width="16.28515625" style="2" customWidth="1"/>
    <col min="15110" max="15111" width="11.42578125" style="2"/>
    <col min="15112" max="15112" width="11.7109375" style="2" bestFit="1" customWidth="1"/>
    <col min="15113" max="15113" width="12.28515625" style="2" customWidth="1"/>
    <col min="15114" max="15344" width="11.42578125" style="2"/>
    <col min="15345" max="15345" width="32.42578125" style="2" customWidth="1"/>
    <col min="15346" max="15346" width="13.28515625" style="2" customWidth="1"/>
    <col min="15347" max="15347" width="11.85546875" style="2" customWidth="1"/>
    <col min="15348" max="15348" width="13.140625" style="2" customWidth="1"/>
    <col min="15349" max="15349" width="14.42578125" style="2" customWidth="1"/>
    <col min="15350" max="15350" width="12.85546875" style="2" customWidth="1"/>
    <col min="15351" max="15356" width="12.28515625" style="2" bestFit="1" customWidth="1"/>
    <col min="15357" max="15364" width="13.85546875" style="2" bestFit="1" customWidth="1"/>
    <col min="15365" max="15365" width="16.28515625" style="2" customWidth="1"/>
    <col min="15366" max="15367" width="11.42578125" style="2"/>
    <col min="15368" max="15368" width="11.7109375" style="2" bestFit="1" customWidth="1"/>
    <col min="15369" max="15369" width="12.28515625" style="2" customWidth="1"/>
    <col min="15370" max="15600" width="11.42578125" style="2"/>
    <col min="15601" max="15601" width="32.42578125" style="2" customWidth="1"/>
    <col min="15602" max="15602" width="13.28515625" style="2" customWidth="1"/>
    <col min="15603" max="15603" width="11.85546875" style="2" customWidth="1"/>
    <col min="15604" max="15604" width="13.140625" style="2" customWidth="1"/>
    <col min="15605" max="15605" width="14.42578125" style="2" customWidth="1"/>
    <col min="15606" max="15606" width="12.85546875" style="2" customWidth="1"/>
    <col min="15607" max="15612" width="12.28515625" style="2" bestFit="1" customWidth="1"/>
    <col min="15613" max="15620" width="13.85546875" style="2" bestFit="1" customWidth="1"/>
    <col min="15621" max="15621" width="16.28515625" style="2" customWidth="1"/>
    <col min="15622" max="15623" width="11.42578125" style="2"/>
    <col min="15624" max="15624" width="11.7109375" style="2" bestFit="1" customWidth="1"/>
    <col min="15625" max="15625" width="12.28515625" style="2" customWidth="1"/>
    <col min="15626" max="15856" width="11.42578125" style="2"/>
    <col min="15857" max="15857" width="32.42578125" style="2" customWidth="1"/>
    <col min="15858" max="15858" width="13.28515625" style="2" customWidth="1"/>
    <col min="15859" max="15859" width="11.85546875" style="2" customWidth="1"/>
    <col min="15860" max="15860" width="13.140625" style="2" customWidth="1"/>
    <col min="15861" max="15861" width="14.42578125" style="2" customWidth="1"/>
    <col min="15862" max="15862" width="12.85546875" style="2" customWidth="1"/>
    <col min="15863" max="15868" width="12.28515625" style="2" bestFit="1" customWidth="1"/>
    <col min="15869" max="15876" width="13.85546875" style="2" bestFit="1" customWidth="1"/>
    <col min="15877" max="15877" width="16.28515625" style="2" customWidth="1"/>
    <col min="15878" max="15879" width="11.42578125" style="2"/>
    <col min="15880" max="15880" width="11.7109375" style="2" bestFit="1" customWidth="1"/>
    <col min="15881" max="15881" width="12.28515625" style="2" customWidth="1"/>
    <col min="15882" max="16112" width="11.42578125" style="2"/>
    <col min="16113" max="16113" width="32.42578125" style="2" customWidth="1"/>
    <col min="16114" max="16114" width="13.28515625" style="2" customWidth="1"/>
    <col min="16115" max="16115" width="11.85546875" style="2" customWidth="1"/>
    <col min="16116" max="16116" width="13.140625" style="2" customWidth="1"/>
    <col min="16117" max="16117" width="14.42578125" style="2" customWidth="1"/>
    <col min="16118" max="16118" width="12.85546875" style="2" customWidth="1"/>
    <col min="16119" max="16124" width="12.28515625" style="2" bestFit="1" customWidth="1"/>
    <col min="16125" max="16132" width="13.85546875" style="2" bestFit="1" customWidth="1"/>
    <col min="16133" max="16133" width="16.28515625" style="2" customWidth="1"/>
    <col min="16134" max="16135" width="11.42578125" style="2"/>
    <col min="16136" max="16136" width="11.7109375" style="2" bestFit="1" customWidth="1"/>
    <col min="16137" max="16137" width="12.28515625" style="2" customWidth="1"/>
    <col min="16138" max="16383" width="11.42578125" style="2"/>
    <col min="16384" max="16384" width="11.42578125" style="2" customWidth="1"/>
  </cols>
  <sheetData>
    <row r="1" spans="1:144" x14ac:dyDescent="0.25">
      <c r="A1" s="3"/>
      <c r="B1" s="3"/>
      <c r="C1" s="3"/>
      <c r="D1" s="3"/>
      <c r="E1" s="34" t="s">
        <v>182</v>
      </c>
      <c r="F1" s="3"/>
      <c r="G1" s="3"/>
    </row>
    <row r="2" spans="1:144" ht="16.5" thickBot="1" x14ac:dyDescent="0.3">
      <c r="C2" s="3"/>
      <c r="D2" s="3"/>
      <c r="F2" s="3"/>
      <c r="G2" s="3"/>
    </row>
    <row r="3" spans="1:144" s="198" customFormat="1" ht="16.5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73" t="s">
        <v>190</v>
      </c>
    </row>
    <row r="4" spans="1:144" s="198" customFormat="1" x14ac:dyDescent="0.25">
      <c r="A4" s="33"/>
      <c r="B4" s="33"/>
      <c r="C4" s="199"/>
      <c r="D4" s="199"/>
      <c r="E4" s="199"/>
      <c r="F4" s="199"/>
      <c r="G4" s="199"/>
      <c r="H4" s="199"/>
    </row>
    <row r="5" spans="1:144" x14ac:dyDescent="0.25">
      <c r="A5" s="141" t="s">
        <v>197</v>
      </c>
      <c r="B5" s="142" t="s">
        <v>5</v>
      </c>
      <c r="J5" s="141"/>
    </row>
    <row r="6" spans="1:144" x14ac:dyDescent="0.25">
      <c r="A6" s="140" t="s">
        <v>198</v>
      </c>
      <c r="B6" s="121"/>
      <c r="D6" s="97">
        <v>0</v>
      </c>
      <c r="E6" s="97"/>
      <c r="F6" s="97"/>
      <c r="G6" s="97"/>
      <c r="H6" s="97">
        <v>54400</v>
      </c>
      <c r="J6" s="140"/>
    </row>
    <row r="7" spans="1:144" x14ac:dyDescent="0.25">
      <c r="A7" s="143" t="s">
        <v>196</v>
      </c>
      <c r="B7" s="141"/>
      <c r="D7" s="148">
        <f t="shared" ref="D7:H7" si="0">SUM(D6:D6)</f>
        <v>0</v>
      </c>
      <c r="E7" s="148">
        <f t="shared" si="0"/>
        <v>0</v>
      </c>
      <c r="F7" s="148">
        <f t="shared" si="0"/>
        <v>0</v>
      </c>
      <c r="G7" s="148">
        <f t="shared" si="0"/>
        <v>0</v>
      </c>
      <c r="H7" s="148">
        <f t="shared" si="0"/>
        <v>54400</v>
      </c>
      <c r="J7" s="143"/>
    </row>
    <row r="8" spans="1:144" x14ac:dyDescent="0.25">
      <c r="A8" s="3"/>
      <c r="B8" s="3"/>
      <c r="D8" s="3"/>
      <c r="E8" s="3"/>
      <c r="F8" s="3"/>
      <c r="G8" s="144"/>
      <c r="H8" s="144"/>
      <c r="J8" s="3"/>
    </row>
    <row r="9" spans="1:144" s="71" customFormat="1" x14ac:dyDescent="0.25">
      <c r="A9" s="33" t="s">
        <v>199</v>
      </c>
      <c r="B9" s="33" t="s">
        <v>5</v>
      </c>
      <c r="D9" s="45" t="s">
        <v>184</v>
      </c>
      <c r="E9" s="45" t="s">
        <v>185</v>
      </c>
      <c r="F9" s="45" t="s">
        <v>186</v>
      </c>
      <c r="G9" s="45" t="s">
        <v>187</v>
      </c>
      <c r="H9" s="45" t="s">
        <v>190</v>
      </c>
      <c r="J9" s="33"/>
    </row>
    <row r="10" spans="1:144" s="71" customFormat="1" x14ac:dyDescent="0.25">
      <c r="A10" s="167"/>
      <c r="B10" s="145">
        <v>10000</v>
      </c>
      <c r="D10" s="147"/>
      <c r="E10" s="147"/>
      <c r="F10" s="147"/>
      <c r="G10" s="147"/>
      <c r="H10" s="147"/>
      <c r="J10" s="167"/>
    </row>
    <row r="11" spans="1:144" s="73" customFormat="1" x14ac:dyDescent="0.25">
      <c r="A11" s="35" t="s">
        <v>205</v>
      </c>
      <c r="B11" s="56"/>
      <c r="D11" s="105">
        <v>5195.2278000000006</v>
      </c>
      <c r="E11" s="105">
        <v>8502.4367000000002</v>
      </c>
      <c r="F11" s="105">
        <v>6971.2448000000004</v>
      </c>
      <c r="G11" s="105">
        <v>428.44</v>
      </c>
      <c r="H11" s="105">
        <v>0</v>
      </c>
      <c r="J11" s="35"/>
      <c r="K11" s="105"/>
      <c r="L11" s="105"/>
      <c r="EN11" s="137"/>
    </row>
    <row r="12" spans="1:144" s="73" customFormat="1" x14ac:dyDescent="0.25">
      <c r="A12" s="35" t="s">
        <v>136</v>
      </c>
      <c r="B12" s="56">
        <f>+'MANO DE OBRA'!C28</f>
        <v>6102</v>
      </c>
      <c r="D12" s="105">
        <v>2403</v>
      </c>
      <c r="E12" s="105">
        <v>4806</v>
      </c>
      <c r="F12" s="105">
        <v>1201.5</v>
      </c>
      <c r="G12" s="105">
        <v>0</v>
      </c>
      <c r="H12" s="105">
        <v>0</v>
      </c>
      <c r="J12" s="35"/>
      <c r="K12" s="177"/>
      <c r="L12" s="177"/>
      <c r="EN12" s="137"/>
    </row>
    <row r="13" spans="1:144" s="73" customFormat="1" x14ac:dyDescent="0.25">
      <c r="A13" s="35" t="s">
        <v>137</v>
      </c>
      <c r="B13" s="56">
        <f>+LOGISTICA!B30</f>
        <v>2327.1</v>
      </c>
      <c r="D13" s="105">
        <v>770.6</v>
      </c>
      <c r="E13" s="105">
        <v>1541.2</v>
      </c>
      <c r="F13" s="105">
        <v>385.3</v>
      </c>
      <c r="G13" s="105">
        <v>0</v>
      </c>
      <c r="H13" s="105">
        <v>0</v>
      </c>
      <c r="J13" s="35"/>
      <c r="EN13" s="137"/>
    </row>
    <row r="14" spans="1:144" s="67" customFormat="1" x14ac:dyDescent="0.25">
      <c r="A14" s="35" t="s">
        <v>200</v>
      </c>
      <c r="B14" s="56">
        <f>SUM(B11:B13)</f>
        <v>8429.1</v>
      </c>
      <c r="D14" s="171">
        <f>SUM(D11:D13)</f>
        <v>8368.8278000000009</v>
      </c>
      <c r="E14" s="171">
        <f>SUM(E11:E13)</f>
        <v>14849.636700000001</v>
      </c>
      <c r="F14" s="171">
        <f>SUM(F11:F13)</f>
        <v>8558.0447999999997</v>
      </c>
      <c r="G14" s="171">
        <f>SUM(G11:G13)</f>
        <v>428.44</v>
      </c>
      <c r="H14" s="171">
        <f>SUM(H11:H13)</f>
        <v>0</v>
      </c>
      <c r="J14" s="35"/>
      <c r="EN14" s="137"/>
    </row>
    <row r="15" spans="1:144" s="67" customFormat="1" x14ac:dyDescent="0.25">
      <c r="A15" s="35" t="s">
        <v>201</v>
      </c>
      <c r="B15" s="105"/>
      <c r="C15" s="166">
        <v>0.1</v>
      </c>
      <c r="D15" s="105">
        <f>+$C$15*D11</f>
        <v>519.52278000000013</v>
      </c>
      <c r="E15" s="105">
        <f t="shared" ref="E15:F15" si="1">+$C$15*E11</f>
        <v>850.24367000000007</v>
      </c>
      <c r="F15" s="105">
        <f t="shared" si="1"/>
        <v>697.12448000000006</v>
      </c>
      <c r="G15" s="105">
        <f>+$C$15*G11</f>
        <v>42.844000000000001</v>
      </c>
      <c r="H15" s="105">
        <f>+$C$15*H11</f>
        <v>0</v>
      </c>
      <c r="J15" s="35"/>
      <c r="EN15" s="137"/>
    </row>
    <row r="16" spans="1:144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622.1845406000001</v>
      </c>
      <c r="E16" s="105">
        <f t="shared" ref="E16:F16" si="2">(+E14+E15)*$C$16</f>
        <v>1098.9916259000001</v>
      </c>
      <c r="F16" s="105">
        <f t="shared" si="2"/>
        <v>647.86184960000003</v>
      </c>
      <c r="G16" s="105">
        <f>(+G14+G15)*0.07</f>
        <v>32.989879999999999</v>
      </c>
      <c r="H16" s="105">
        <f>(+H14+H15)*0.07</f>
        <v>0</v>
      </c>
      <c r="J16" s="35"/>
      <c r="EN16" s="137"/>
    </row>
    <row r="17" spans="1:144" s="67" customFormat="1" x14ac:dyDescent="0.25">
      <c r="A17" s="35" t="s">
        <v>89</v>
      </c>
      <c r="B17" s="105"/>
      <c r="C17" s="166">
        <v>0.12</v>
      </c>
      <c r="D17" s="105">
        <f>(+D14+D15)*$C$17</f>
        <v>1066.6020696</v>
      </c>
      <c r="E17" s="105">
        <f t="shared" ref="E17:H17" si="3">(+E14+E15)*$C$17</f>
        <v>1883.9856444</v>
      </c>
      <c r="F17" s="105">
        <f t="shared" si="3"/>
        <v>1110.6203135999999</v>
      </c>
      <c r="G17" s="105">
        <f t="shared" si="3"/>
        <v>56.554079999999999</v>
      </c>
      <c r="H17" s="105">
        <f t="shared" si="3"/>
        <v>0</v>
      </c>
      <c r="J17" s="35"/>
      <c r="EN17" s="137"/>
    </row>
    <row r="18" spans="1:144" s="67" customFormat="1" x14ac:dyDescent="0.25">
      <c r="A18" s="143" t="s">
        <v>181</v>
      </c>
      <c r="B18" s="141"/>
      <c r="D18" s="148">
        <f t="shared" ref="D18:H18" si="4">SUM(D14:D17)+D10</f>
        <v>10577.137190199999</v>
      </c>
      <c r="E18" s="148">
        <f t="shared" si="4"/>
        <v>18682.857640300001</v>
      </c>
      <c r="F18" s="148">
        <f t="shared" si="4"/>
        <v>11013.6514432</v>
      </c>
      <c r="G18" s="148">
        <f t="shared" si="4"/>
        <v>560.82795999999996</v>
      </c>
      <c r="H18" s="148">
        <f t="shared" si="4"/>
        <v>0</v>
      </c>
      <c r="J18" s="143"/>
      <c r="EN18" s="137"/>
    </row>
    <row r="19" spans="1:144" s="67" customFormat="1" x14ac:dyDescent="0.25">
      <c r="A19" s="143"/>
      <c r="B19" s="141"/>
      <c r="D19" s="148"/>
      <c r="E19" s="148"/>
      <c r="F19" s="148"/>
      <c r="G19" s="148"/>
      <c r="H19" s="148"/>
      <c r="J19" s="143"/>
      <c r="EN19" s="137"/>
    </row>
    <row r="20" spans="1:144" s="73" customFormat="1" x14ac:dyDescent="0.25">
      <c r="A20" s="140" t="s">
        <v>232</v>
      </c>
      <c r="B20" s="121"/>
      <c r="D20" s="130">
        <f>+D7-D18</f>
        <v>-10577.137190199999</v>
      </c>
      <c r="E20" s="130">
        <f>+E7-E18</f>
        <v>-18682.857640300001</v>
      </c>
      <c r="F20" s="130">
        <f>+F7-F18</f>
        <v>-11013.6514432</v>
      </c>
      <c r="G20" s="130">
        <f>+G7-G18</f>
        <v>-560.82795999999996</v>
      </c>
      <c r="H20" s="130">
        <f>+H7-H18</f>
        <v>54400</v>
      </c>
      <c r="J20" s="140"/>
    </row>
    <row r="21" spans="1:144" s="73" customFormat="1" x14ac:dyDescent="0.25">
      <c r="A21" s="140" t="s">
        <v>210</v>
      </c>
      <c r="B21" s="121"/>
      <c r="D21" s="130">
        <v>0</v>
      </c>
      <c r="E21" s="130">
        <v>0</v>
      </c>
      <c r="F21" s="130">
        <v>0</v>
      </c>
      <c r="G21" s="130"/>
      <c r="H21" s="130">
        <v>1201.58</v>
      </c>
      <c r="I21" s="139" t="s">
        <v>245</v>
      </c>
      <c r="J21" s="140"/>
    </row>
    <row r="22" spans="1:144" s="73" customFormat="1" x14ac:dyDescent="0.25">
      <c r="A22" s="140" t="s">
        <v>233</v>
      </c>
      <c r="B22" s="121"/>
      <c r="D22" s="130">
        <f>+D20-D21</f>
        <v>-10577.137190199999</v>
      </c>
      <c r="E22" s="130">
        <f t="shared" ref="E22:H22" si="5">+E20-E21</f>
        <v>-18682.857640300001</v>
      </c>
      <c r="F22" s="130">
        <f t="shared" si="5"/>
        <v>-11013.6514432</v>
      </c>
      <c r="G22" s="130">
        <f t="shared" si="5"/>
        <v>-560.82795999999996</v>
      </c>
      <c r="H22" s="130">
        <f t="shared" si="5"/>
        <v>53198.42</v>
      </c>
      <c r="J22" s="140"/>
    </row>
    <row r="23" spans="1:144" x14ac:dyDescent="0.25">
      <c r="A23" s="140" t="s">
        <v>248</v>
      </c>
      <c r="B23" s="121"/>
      <c r="C23" s="101">
        <v>-10000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06"/>
      <c r="J23" s="1"/>
      <c r="K23" s="1"/>
    </row>
    <row r="24" spans="1:144" ht="16.5" thickBot="1" x14ac:dyDescent="0.3">
      <c r="A24" s="150" t="s">
        <v>240</v>
      </c>
      <c r="B24" s="150"/>
      <c r="C24" s="153">
        <f>+C23</f>
        <v>-10000</v>
      </c>
      <c r="D24" s="153">
        <f>+D22+D23</f>
        <v>-10577.137190199999</v>
      </c>
      <c r="E24" s="153">
        <f t="shared" ref="E24:H24" si="6">+E22+E23</f>
        <v>-18682.857640300001</v>
      </c>
      <c r="F24" s="153">
        <f t="shared" si="6"/>
        <v>-11013.6514432</v>
      </c>
      <c r="G24" s="153">
        <f t="shared" si="6"/>
        <v>-560.82795999999996</v>
      </c>
      <c r="H24" s="153">
        <f t="shared" si="6"/>
        <v>53198.42</v>
      </c>
      <c r="I24" s="104"/>
      <c r="J24" s="1"/>
      <c r="K24" s="1"/>
    </row>
    <row r="25" spans="1:144" x14ac:dyDescent="0.25">
      <c r="A25" s="2" t="s">
        <v>195</v>
      </c>
      <c r="C25" s="121"/>
      <c r="D25" s="121"/>
      <c r="E25" s="36"/>
      <c r="F25" s="36"/>
      <c r="G25" s="36"/>
      <c r="I25" s="104"/>
      <c r="J25" s="1"/>
      <c r="K25" s="1"/>
    </row>
    <row r="26" spans="1:144" x14ac:dyDescent="0.25">
      <c r="A26" s="140"/>
      <c r="B26" s="140"/>
      <c r="C26" s="121"/>
      <c r="D26" s="121"/>
      <c r="E26" s="36"/>
      <c r="F26" s="36"/>
      <c r="G26" s="36"/>
      <c r="I26" s="104"/>
      <c r="J26" s="1"/>
      <c r="K26" s="1"/>
    </row>
    <row r="27" spans="1:144" x14ac:dyDescent="0.25">
      <c r="C27" s="121" t="s">
        <v>252</v>
      </c>
      <c r="D27" s="121"/>
      <c r="E27" s="36"/>
      <c r="F27" s="36"/>
      <c r="G27" s="36"/>
      <c r="I27" s="104"/>
      <c r="J27" s="1"/>
      <c r="K27" s="1"/>
    </row>
    <row r="28" spans="1:144" ht="16.5" thickBot="1" x14ac:dyDescent="0.3">
      <c r="A28" s="150"/>
      <c r="B28" s="150"/>
      <c r="C28" s="5"/>
      <c r="D28" s="151"/>
      <c r="E28" s="152"/>
      <c r="F28" s="152"/>
      <c r="G28" s="152"/>
      <c r="H28" s="152"/>
      <c r="I28" s="104"/>
      <c r="J28" s="1"/>
      <c r="K28" s="1"/>
    </row>
    <row r="29" spans="1:144" ht="16.5" thickBot="1" x14ac:dyDescent="0.3">
      <c r="A29" s="170"/>
      <c r="B29" s="170"/>
      <c r="C29" s="169" t="s">
        <v>202</v>
      </c>
      <c r="D29" s="200" t="s">
        <v>184</v>
      </c>
      <c r="E29" s="200" t="s">
        <v>185</v>
      </c>
      <c r="F29" s="200" t="s">
        <v>186</v>
      </c>
      <c r="G29" s="200" t="s">
        <v>187</v>
      </c>
      <c r="H29" s="200" t="s">
        <v>190</v>
      </c>
      <c r="I29" s="104"/>
      <c r="J29" s="197"/>
      <c r="K29" s="1"/>
    </row>
    <row r="30" spans="1:144" x14ac:dyDescent="0.25">
      <c r="A30" s="140" t="s">
        <v>240</v>
      </c>
      <c r="B30" s="140"/>
      <c r="C30" s="130">
        <f t="shared" ref="C30:G30" si="7">+C24</f>
        <v>-10000</v>
      </c>
      <c r="D30" s="130">
        <f t="shared" si="7"/>
        <v>-10577.137190199999</v>
      </c>
      <c r="E30" s="130">
        <f t="shared" si="7"/>
        <v>-18682.857640300001</v>
      </c>
      <c r="F30" s="130">
        <f t="shared" si="7"/>
        <v>-11013.6514432</v>
      </c>
      <c r="G30" s="130">
        <f t="shared" si="7"/>
        <v>-560.82795999999996</v>
      </c>
      <c r="H30" s="130">
        <f t="shared" ref="H30" si="8">+H24</f>
        <v>53198.42</v>
      </c>
      <c r="I30" s="104"/>
      <c r="J30" s="204"/>
      <c r="K30" s="202"/>
    </row>
    <row r="31" spans="1:144" x14ac:dyDescent="0.25">
      <c r="A31" s="3" t="s">
        <v>188</v>
      </c>
      <c r="B31" s="3"/>
      <c r="C31" s="47">
        <f>IRR(C30:H30)</f>
        <v>1.3577695315750704E-2</v>
      </c>
      <c r="D31" s="3"/>
      <c r="E31" s="3"/>
      <c r="F31" s="3"/>
      <c r="G31" s="36"/>
      <c r="I31" s="104"/>
      <c r="J31" s="204"/>
      <c r="K31" s="202"/>
    </row>
    <row r="32" spans="1:144" x14ac:dyDescent="0.25">
      <c r="A32" s="3" t="s">
        <v>189</v>
      </c>
      <c r="B32" s="3"/>
      <c r="C32" s="47">
        <f>+C31*12</f>
        <v>0.16293234378900845</v>
      </c>
      <c r="D32" s="3"/>
      <c r="E32" s="3"/>
      <c r="F32" s="3"/>
      <c r="G32" s="121"/>
      <c r="I32" s="104"/>
      <c r="J32" s="204"/>
      <c r="K32" s="1"/>
    </row>
    <row r="33" spans="1:11" x14ac:dyDescent="0.25">
      <c r="A33" s="3" t="s">
        <v>253</v>
      </c>
      <c r="B33" s="3"/>
      <c r="C33" s="188">
        <f>NPV(0.18/12,D30:H30)+C30</f>
        <v>-234.52272261271355</v>
      </c>
      <c r="D33" s="1"/>
      <c r="E33" s="1"/>
      <c r="F33" s="1"/>
      <c r="G33" s="1"/>
      <c r="I33" s="104"/>
      <c r="J33" s="204"/>
      <c r="K33" s="1"/>
    </row>
    <row r="34" spans="1:11" ht="16.5" thickBot="1" x14ac:dyDescent="0.3">
      <c r="A34" s="5" t="s">
        <v>254</v>
      </c>
      <c r="B34" s="5"/>
      <c r="C34" s="154">
        <f>NPV(+C32/12,D30:H30)+C30</f>
        <v>-4.8203219193965197E-9</v>
      </c>
      <c r="D34" s="193"/>
      <c r="E34" s="193"/>
      <c r="F34" s="193"/>
      <c r="G34" s="193"/>
      <c r="H34" s="193"/>
      <c r="I34" s="104"/>
      <c r="J34" s="1"/>
      <c r="K34" s="1"/>
    </row>
    <row r="35" spans="1:11" x14ac:dyDescent="0.25">
      <c r="A35" s="2" t="s">
        <v>195</v>
      </c>
      <c r="D35" s="1"/>
      <c r="E35" s="1"/>
      <c r="F35" s="1"/>
      <c r="G35" s="1"/>
      <c r="I35" s="104"/>
      <c r="J35" s="1"/>
      <c r="K35" s="1"/>
    </row>
    <row r="36" spans="1:11" x14ac:dyDescent="0.25">
      <c r="A36" s="140"/>
      <c r="B36" s="140"/>
      <c r="C36" s="121"/>
      <c r="D36" s="121"/>
      <c r="E36" s="36"/>
      <c r="F36" s="36"/>
      <c r="G36" s="36"/>
      <c r="I36" s="104"/>
      <c r="J36" s="1"/>
      <c r="K36" s="1"/>
    </row>
    <row r="37" spans="1:11" ht="16.5" thickBot="1" x14ac:dyDescent="0.3">
      <c r="A37" s="5"/>
      <c r="B37" s="5"/>
      <c r="C37" s="151" t="s">
        <v>247</v>
      </c>
      <c r="D37" s="151"/>
      <c r="E37" s="152"/>
      <c r="F37" s="152"/>
      <c r="G37" s="152"/>
      <c r="H37" s="5"/>
      <c r="J37" s="1"/>
      <c r="K37" s="1"/>
    </row>
    <row r="38" spans="1:11" ht="16.5" thickBot="1" x14ac:dyDescent="0.3">
      <c r="A38" s="170"/>
      <c r="B38" s="170"/>
      <c r="C38" s="169" t="s">
        <v>202</v>
      </c>
      <c r="D38" s="200" t="s">
        <v>184</v>
      </c>
      <c r="E38" s="200" t="s">
        <v>185</v>
      </c>
      <c r="F38" s="200" t="s">
        <v>186</v>
      </c>
      <c r="G38" s="200" t="s">
        <v>187</v>
      </c>
      <c r="H38" s="200" t="s">
        <v>190</v>
      </c>
      <c r="J38" s="1"/>
      <c r="K38" s="1"/>
    </row>
    <row r="39" spans="1:11" x14ac:dyDescent="0.25">
      <c r="A39" s="140" t="s">
        <v>241</v>
      </c>
      <c r="B39" s="140"/>
      <c r="C39" s="122">
        <f>+C24</f>
        <v>-10000</v>
      </c>
      <c r="D39" s="122">
        <f t="shared" ref="D39:F39" si="9">+D24</f>
        <v>-10577.137190199999</v>
      </c>
      <c r="E39" s="122">
        <f t="shared" si="9"/>
        <v>-18682.857640300001</v>
      </c>
      <c r="F39" s="122">
        <f t="shared" si="9"/>
        <v>-11013.6514432</v>
      </c>
      <c r="G39" s="122">
        <f>+G24</f>
        <v>-560.82795999999996</v>
      </c>
      <c r="H39" s="122">
        <f t="shared" ref="H39" si="10">+H24</f>
        <v>53198.42</v>
      </c>
      <c r="J39" s="1"/>
      <c r="K39" s="1"/>
    </row>
    <row r="40" spans="1:11" x14ac:dyDescent="0.25">
      <c r="A40" s="140" t="s">
        <v>246</v>
      </c>
      <c r="B40" s="140"/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0</v>
      </c>
      <c r="J40" s="1"/>
      <c r="K40" s="1"/>
    </row>
    <row r="41" spans="1:11" ht="16.5" thickBot="1" x14ac:dyDescent="0.3">
      <c r="A41" s="150" t="s">
        <v>242</v>
      </c>
      <c r="B41" s="150"/>
      <c r="C41" s="201">
        <f>+C39-C40</f>
        <v>-10000</v>
      </c>
      <c r="D41" s="201">
        <f t="shared" ref="D41:G41" si="11">+D39-D40</f>
        <v>-10577.137190199999</v>
      </c>
      <c r="E41" s="201">
        <f t="shared" si="11"/>
        <v>-18682.857640300001</v>
      </c>
      <c r="F41" s="201">
        <f t="shared" si="11"/>
        <v>-11013.6514432</v>
      </c>
      <c r="G41" s="201">
        <f t="shared" si="11"/>
        <v>-560.82795999999996</v>
      </c>
      <c r="H41" s="201">
        <f t="shared" ref="H41" si="12">+H39-H40</f>
        <v>53198.42</v>
      </c>
      <c r="J41" s="1"/>
      <c r="K41" s="1"/>
    </row>
    <row r="42" spans="1:11" x14ac:dyDescent="0.25">
      <c r="A42" s="2" t="s">
        <v>195</v>
      </c>
      <c r="D42" s="1"/>
      <c r="E42" s="1"/>
      <c r="F42" s="1"/>
      <c r="G42" s="1"/>
      <c r="H42" s="1"/>
      <c r="J42" s="1"/>
      <c r="K42" s="1"/>
    </row>
    <row r="43" spans="1:11" x14ac:dyDescent="0.25">
      <c r="A43" s="140"/>
      <c r="B43" s="140"/>
      <c r="C43" s="121"/>
      <c r="D43" s="121"/>
      <c r="E43" s="36"/>
      <c r="F43" s="36"/>
      <c r="G43" s="36"/>
      <c r="I43" s="104"/>
      <c r="J43" s="1"/>
      <c r="K43" s="1"/>
    </row>
    <row r="44" spans="1:11" x14ac:dyDescent="0.25">
      <c r="A44" s="2" t="s">
        <v>228</v>
      </c>
      <c r="C44" s="2" t="s">
        <v>249</v>
      </c>
      <c r="D44" s="121"/>
      <c r="E44" s="36"/>
      <c r="F44" s="36"/>
      <c r="G44" s="36"/>
      <c r="I44" s="104"/>
      <c r="J44" s="1"/>
      <c r="K44" s="1"/>
    </row>
    <row r="45" spans="1:11" x14ac:dyDescent="0.25">
      <c r="C45" s="2" t="s">
        <v>255</v>
      </c>
      <c r="D45" s="121"/>
      <c r="E45" s="36"/>
      <c r="F45" s="36"/>
      <c r="G45" s="36"/>
      <c r="I45" s="104"/>
      <c r="J45" s="1"/>
      <c r="K45" s="1"/>
    </row>
    <row r="46" spans="1:11" x14ac:dyDescent="0.25">
      <c r="C46" s="2" t="s">
        <v>251</v>
      </c>
      <c r="D46" s="121"/>
      <c r="E46" s="36"/>
      <c r="F46" s="36"/>
      <c r="G46" s="36"/>
      <c r="I46" s="104"/>
      <c r="J46" s="1"/>
      <c r="K46" s="1"/>
    </row>
    <row r="47" spans="1:11" x14ac:dyDescent="0.25">
      <c r="A47" s="140"/>
      <c r="B47" s="140"/>
      <c r="C47" s="121"/>
      <c r="D47" s="121"/>
      <c r="E47" s="36"/>
      <c r="F47" s="36"/>
      <c r="G47" s="36"/>
      <c r="I47" s="104"/>
      <c r="J47" s="1"/>
      <c r="K47" s="1"/>
    </row>
    <row r="48" spans="1:11" x14ac:dyDescent="0.25">
      <c r="A48" s="140"/>
      <c r="B48" s="140"/>
      <c r="C48" s="121"/>
      <c r="D48" s="121"/>
      <c r="E48" s="36"/>
      <c r="F48" s="36"/>
      <c r="G48" s="36"/>
      <c r="I48" s="104"/>
      <c r="J48" s="1"/>
      <c r="K48" s="1"/>
    </row>
    <row r="49" spans="1:11" x14ac:dyDescent="0.25">
      <c r="A49" s="140"/>
      <c r="B49" s="140"/>
      <c r="C49" s="121"/>
      <c r="D49" s="121"/>
      <c r="E49" s="36"/>
      <c r="F49" s="36"/>
      <c r="G49" s="36"/>
      <c r="I49" s="104"/>
      <c r="J49" s="1"/>
      <c r="K49" s="1"/>
    </row>
    <row r="50" spans="1:11" x14ac:dyDescent="0.25">
      <c r="I50" s="104"/>
    </row>
    <row r="51" spans="1:11" x14ac:dyDescent="0.25">
      <c r="C51" s="138"/>
      <c r="I51" s="104"/>
    </row>
    <row r="59" spans="1:11" x14ac:dyDescent="0.25">
      <c r="I59" s="129"/>
    </row>
    <row r="72" spans="6:9" x14ac:dyDescent="0.25">
      <c r="F72" s="129"/>
    </row>
    <row r="73" spans="6:9" x14ac:dyDescent="0.25">
      <c r="F73" s="129"/>
    </row>
    <row r="74" spans="6:9" x14ac:dyDescent="0.25">
      <c r="F74" s="129"/>
    </row>
    <row r="75" spans="6:9" x14ac:dyDescent="0.25">
      <c r="F75" s="129"/>
    </row>
    <row r="76" spans="6:9" x14ac:dyDescent="0.25">
      <c r="F76" s="129"/>
    </row>
    <row r="77" spans="6:9" x14ac:dyDescent="0.25">
      <c r="I77" s="129"/>
    </row>
    <row r="78" spans="6:9" x14ac:dyDescent="0.25">
      <c r="I78" s="129"/>
    </row>
    <row r="79" spans="6:9" x14ac:dyDescent="0.25">
      <c r="I79" s="129"/>
    </row>
    <row r="80" spans="6:9" x14ac:dyDescent="0.25">
      <c r="I80" s="129"/>
    </row>
    <row r="81" spans="9:9" x14ac:dyDescent="0.25">
      <c r="I81" s="1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68"/>
  <sheetViews>
    <sheetView zoomScale="96" zoomScaleNormal="96" workbookViewId="0">
      <selection activeCell="I18" sqref="I18"/>
    </sheetView>
  </sheetViews>
  <sheetFormatPr baseColWidth="10" defaultRowHeight="15.75" x14ac:dyDescent="0.25"/>
  <cols>
    <col min="1" max="1" width="13.5703125" style="2" customWidth="1"/>
    <col min="2" max="2" width="19.42578125" style="2" hidden="1" customWidth="1"/>
    <col min="3" max="3" width="15.140625" style="2" customWidth="1"/>
    <col min="4" max="7" width="13" style="2" customWidth="1"/>
    <col min="8" max="8" width="12.85546875" style="2" customWidth="1"/>
    <col min="9" max="9" width="12.28515625" style="2" customWidth="1"/>
    <col min="10" max="11" width="13" style="2" customWidth="1"/>
    <col min="12" max="12" width="13.42578125" style="2" customWidth="1"/>
    <col min="13" max="240" width="11.42578125" style="2"/>
    <col min="241" max="241" width="32.42578125" style="2" customWidth="1"/>
    <col min="242" max="242" width="13.28515625" style="2" customWidth="1"/>
    <col min="243" max="243" width="11.85546875" style="2" customWidth="1"/>
    <col min="244" max="244" width="13.140625" style="2" customWidth="1"/>
    <col min="245" max="245" width="14.42578125" style="2" customWidth="1"/>
    <col min="246" max="246" width="12.85546875" style="2" customWidth="1"/>
    <col min="247" max="252" width="12.28515625" style="2" bestFit="1" customWidth="1"/>
    <col min="253" max="260" width="13.85546875" style="2" bestFit="1" customWidth="1"/>
    <col min="261" max="261" width="16.28515625" style="2" customWidth="1"/>
    <col min="262" max="263" width="11.42578125" style="2"/>
    <col min="264" max="264" width="11.7109375" style="2" bestFit="1" customWidth="1"/>
    <col min="265" max="265" width="12.28515625" style="2" customWidth="1"/>
    <col min="266" max="496" width="11.42578125" style="2"/>
    <col min="497" max="497" width="32.42578125" style="2" customWidth="1"/>
    <col min="498" max="498" width="13.28515625" style="2" customWidth="1"/>
    <col min="499" max="499" width="11.85546875" style="2" customWidth="1"/>
    <col min="500" max="500" width="13.140625" style="2" customWidth="1"/>
    <col min="501" max="501" width="14.42578125" style="2" customWidth="1"/>
    <col min="502" max="502" width="12.85546875" style="2" customWidth="1"/>
    <col min="503" max="508" width="12.28515625" style="2" bestFit="1" customWidth="1"/>
    <col min="509" max="516" width="13.85546875" style="2" bestFit="1" customWidth="1"/>
    <col min="517" max="517" width="16.28515625" style="2" customWidth="1"/>
    <col min="518" max="519" width="11.42578125" style="2"/>
    <col min="520" max="520" width="11.7109375" style="2" bestFit="1" customWidth="1"/>
    <col min="521" max="521" width="12.28515625" style="2" customWidth="1"/>
    <col min="522" max="752" width="11.42578125" style="2"/>
    <col min="753" max="753" width="32.42578125" style="2" customWidth="1"/>
    <col min="754" max="754" width="13.28515625" style="2" customWidth="1"/>
    <col min="755" max="755" width="11.85546875" style="2" customWidth="1"/>
    <col min="756" max="756" width="13.140625" style="2" customWidth="1"/>
    <col min="757" max="757" width="14.42578125" style="2" customWidth="1"/>
    <col min="758" max="758" width="12.85546875" style="2" customWidth="1"/>
    <col min="759" max="764" width="12.28515625" style="2" bestFit="1" customWidth="1"/>
    <col min="765" max="772" width="13.85546875" style="2" bestFit="1" customWidth="1"/>
    <col min="773" max="773" width="16.28515625" style="2" customWidth="1"/>
    <col min="774" max="775" width="11.42578125" style="2"/>
    <col min="776" max="776" width="11.7109375" style="2" bestFit="1" customWidth="1"/>
    <col min="777" max="777" width="12.28515625" style="2" customWidth="1"/>
    <col min="778" max="1008" width="11.42578125" style="2"/>
    <col min="1009" max="1009" width="32.42578125" style="2" customWidth="1"/>
    <col min="1010" max="1010" width="13.28515625" style="2" customWidth="1"/>
    <col min="1011" max="1011" width="11.85546875" style="2" customWidth="1"/>
    <col min="1012" max="1012" width="13.140625" style="2" customWidth="1"/>
    <col min="1013" max="1013" width="14.42578125" style="2" customWidth="1"/>
    <col min="1014" max="1014" width="12.85546875" style="2" customWidth="1"/>
    <col min="1015" max="1020" width="12.28515625" style="2" bestFit="1" customWidth="1"/>
    <col min="1021" max="1028" width="13.85546875" style="2" bestFit="1" customWidth="1"/>
    <col min="1029" max="1029" width="16.28515625" style="2" customWidth="1"/>
    <col min="1030" max="1031" width="11.42578125" style="2"/>
    <col min="1032" max="1032" width="11.7109375" style="2" bestFit="1" customWidth="1"/>
    <col min="1033" max="1033" width="12.28515625" style="2" customWidth="1"/>
    <col min="1034" max="1264" width="11.42578125" style="2"/>
    <col min="1265" max="1265" width="32.42578125" style="2" customWidth="1"/>
    <col min="1266" max="1266" width="13.28515625" style="2" customWidth="1"/>
    <col min="1267" max="1267" width="11.85546875" style="2" customWidth="1"/>
    <col min="1268" max="1268" width="13.140625" style="2" customWidth="1"/>
    <col min="1269" max="1269" width="14.42578125" style="2" customWidth="1"/>
    <col min="1270" max="1270" width="12.85546875" style="2" customWidth="1"/>
    <col min="1271" max="1276" width="12.28515625" style="2" bestFit="1" customWidth="1"/>
    <col min="1277" max="1284" width="13.85546875" style="2" bestFit="1" customWidth="1"/>
    <col min="1285" max="1285" width="16.28515625" style="2" customWidth="1"/>
    <col min="1286" max="1287" width="11.42578125" style="2"/>
    <col min="1288" max="1288" width="11.7109375" style="2" bestFit="1" customWidth="1"/>
    <col min="1289" max="1289" width="12.28515625" style="2" customWidth="1"/>
    <col min="1290" max="1520" width="11.42578125" style="2"/>
    <col min="1521" max="1521" width="32.42578125" style="2" customWidth="1"/>
    <col min="1522" max="1522" width="13.28515625" style="2" customWidth="1"/>
    <col min="1523" max="1523" width="11.85546875" style="2" customWidth="1"/>
    <col min="1524" max="1524" width="13.140625" style="2" customWidth="1"/>
    <col min="1525" max="1525" width="14.42578125" style="2" customWidth="1"/>
    <col min="1526" max="1526" width="12.85546875" style="2" customWidth="1"/>
    <col min="1527" max="1532" width="12.28515625" style="2" bestFit="1" customWidth="1"/>
    <col min="1533" max="1540" width="13.85546875" style="2" bestFit="1" customWidth="1"/>
    <col min="1541" max="1541" width="16.28515625" style="2" customWidth="1"/>
    <col min="1542" max="1543" width="11.42578125" style="2"/>
    <col min="1544" max="1544" width="11.7109375" style="2" bestFit="1" customWidth="1"/>
    <col min="1545" max="1545" width="12.28515625" style="2" customWidth="1"/>
    <col min="1546" max="1776" width="11.42578125" style="2"/>
    <col min="1777" max="1777" width="32.42578125" style="2" customWidth="1"/>
    <col min="1778" max="1778" width="13.28515625" style="2" customWidth="1"/>
    <col min="1779" max="1779" width="11.85546875" style="2" customWidth="1"/>
    <col min="1780" max="1780" width="13.140625" style="2" customWidth="1"/>
    <col min="1781" max="1781" width="14.42578125" style="2" customWidth="1"/>
    <col min="1782" max="1782" width="12.85546875" style="2" customWidth="1"/>
    <col min="1783" max="1788" width="12.28515625" style="2" bestFit="1" customWidth="1"/>
    <col min="1789" max="1796" width="13.85546875" style="2" bestFit="1" customWidth="1"/>
    <col min="1797" max="1797" width="16.28515625" style="2" customWidth="1"/>
    <col min="1798" max="1799" width="11.42578125" style="2"/>
    <col min="1800" max="1800" width="11.7109375" style="2" bestFit="1" customWidth="1"/>
    <col min="1801" max="1801" width="12.28515625" style="2" customWidth="1"/>
    <col min="1802" max="2032" width="11.42578125" style="2"/>
    <col min="2033" max="2033" width="32.42578125" style="2" customWidth="1"/>
    <col min="2034" max="2034" width="13.28515625" style="2" customWidth="1"/>
    <col min="2035" max="2035" width="11.85546875" style="2" customWidth="1"/>
    <col min="2036" max="2036" width="13.140625" style="2" customWidth="1"/>
    <col min="2037" max="2037" width="14.42578125" style="2" customWidth="1"/>
    <col min="2038" max="2038" width="12.85546875" style="2" customWidth="1"/>
    <col min="2039" max="2044" width="12.28515625" style="2" bestFit="1" customWidth="1"/>
    <col min="2045" max="2052" width="13.85546875" style="2" bestFit="1" customWidth="1"/>
    <col min="2053" max="2053" width="16.28515625" style="2" customWidth="1"/>
    <col min="2054" max="2055" width="11.42578125" style="2"/>
    <col min="2056" max="2056" width="11.7109375" style="2" bestFit="1" customWidth="1"/>
    <col min="2057" max="2057" width="12.28515625" style="2" customWidth="1"/>
    <col min="2058" max="2288" width="11.42578125" style="2"/>
    <col min="2289" max="2289" width="32.42578125" style="2" customWidth="1"/>
    <col min="2290" max="2290" width="13.28515625" style="2" customWidth="1"/>
    <col min="2291" max="2291" width="11.85546875" style="2" customWidth="1"/>
    <col min="2292" max="2292" width="13.140625" style="2" customWidth="1"/>
    <col min="2293" max="2293" width="14.42578125" style="2" customWidth="1"/>
    <col min="2294" max="2294" width="12.85546875" style="2" customWidth="1"/>
    <col min="2295" max="2300" width="12.28515625" style="2" bestFit="1" customWidth="1"/>
    <col min="2301" max="2308" width="13.85546875" style="2" bestFit="1" customWidth="1"/>
    <col min="2309" max="2309" width="16.28515625" style="2" customWidth="1"/>
    <col min="2310" max="2311" width="11.42578125" style="2"/>
    <col min="2312" max="2312" width="11.7109375" style="2" bestFit="1" customWidth="1"/>
    <col min="2313" max="2313" width="12.28515625" style="2" customWidth="1"/>
    <col min="2314" max="2544" width="11.42578125" style="2"/>
    <col min="2545" max="2545" width="32.42578125" style="2" customWidth="1"/>
    <col min="2546" max="2546" width="13.28515625" style="2" customWidth="1"/>
    <col min="2547" max="2547" width="11.85546875" style="2" customWidth="1"/>
    <col min="2548" max="2548" width="13.140625" style="2" customWidth="1"/>
    <col min="2549" max="2549" width="14.42578125" style="2" customWidth="1"/>
    <col min="2550" max="2550" width="12.85546875" style="2" customWidth="1"/>
    <col min="2551" max="2556" width="12.28515625" style="2" bestFit="1" customWidth="1"/>
    <col min="2557" max="2564" width="13.85546875" style="2" bestFit="1" customWidth="1"/>
    <col min="2565" max="2565" width="16.28515625" style="2" customWidth="1"/>
    <col min="2566" max="2567" width="11.42578125" style="2"/>
    <col min="2568" max="2568" width="11.7109375" style="2" bestFit="1" customWidth="1"/>
    <col min="2569" max="2569" width="12.28515625" style="2" customWidth="1"/>
    <col min="2570" max="2800" width="11.42578125" style="2"/>
    <col min="2801" max="2801" width="32.42578125" style="2" customWidth="1"/>
    <col min="2802" max="2802" width="13.28515625" style="2" customWidth="1"/>
    <col min="2803" max="2803" width="11.85546875" style="2" customWidth="1"/>
    <col min="2804" max="2804" width="13.140625" style="2" customWidth="1"/>
    <col min="2805" max="2805" width="14.42578125" style="2" customWidth="1"/>
    <col min="2806" max="2806" width="12.85546875" style="2" customWidth="1"/>
    <col min="2807" max="2812" width="12.28515625" style="2" bestFit="1" customWidth="1"/>
    <col min="2813" max="2820" width="13.85546875" style="2" bestFit="1" customWidth="1"/>
    <col min="2821" max="2821" width="16.28515625" style="2" customWidth="1"/>
    <col min="2822" max="2823" width="11.42578125" style="2"/>
    <col min="2824" max="2824" width="11.7109375" style="2" bestFit="1" customWidth="1"/>
    <col min="2825" max="2825" width="12.28515625" style="2" customWidth="1"/>
    <col min="2826" max="3056" width="11.42578125" style="2"/>
    <col min="3057" max="3057" width="32.42578125" style="2" customWidth="1"/>
    <col min="3058" max="3058" width="13.28515625" style="2" customWidth="1"/>
    <col min="3059" max="3059" width="11.85546875" style="2" customWidth="1"/>
    <col min="3060" max="3060" width="13.140625" style="2" customWidth="1"/>
    <col min="3061" max="3061" width="14.42578125" style="2" customWidth="1"/>
    <col min="3062" max="3062" width="12.85546875" style="2" customWidth="1"/>
    <col min="3063" max="3068" width="12.28515625" style="2" bestFit="1" customWidth="1"/>
    <col min="3069" max="3076" width="13.85546875" style="2" bestFit="1" customWidth="1"/>
    <col min="3077" max="3077" width="16.28515625" style="2" customWidth="1"/>
    <col min="3078" max="3079" width="11.42578125" style="2"/>
    <col min="3080" max="3080" width="11.7109375" style="2" bestFit="1" customWidth="1"/>
    <col min="3081" max="3081" width="12.28515625" style="2" customWidth="1"/>
    <col min="3082" max="3312" width="11.42578125" style="2"/>
    <col min="3313" max="3313" width="32.42578125" style="2" customWidth="1"/>
    <col min="3314" max="3314" width="13.28515625" style="2" customWidth="1"/>
    <col min="3315" max="3315" width="11.85546875" style="2" customWidth="1"/>
    <col min="3316" max="3316" width="13.140625" style="2" customWidth="1"/>
    <col min="3317" max="3317" width="14.42578125" style="2" customWidth="1"/>
    <col min="3318" max="3318" width="12.85546875" style="2" customWidth="1"/>
    <col min="3319" max="3324" width="12.28515625" style="2" bestFit="1" customWidth="1"/>
    <col min="3325" max="3332" width="13.85546875" style="2" bestFit="1" customWidth="1"/>
    <col min="3333" max="3333" width="16.28515625" style="2" customWidth="1"/>
    <col min="3334" max="3335" width="11.42578125" style="2"/>
    <col min="3336" max="3336" width="11.7109375" style="2" bestFit="1" customWidth="1"/>
    <col min="3337" max="3337" width="12.28515625" style="2" customWidth="1"/>
    <col min="3338" max="3568" width="11.42578125" style="2"/>
    <col min="3569" max="3569" width="32.42578125" style="2" customWidth="1"/>
    <col min="3570" max="3570" width="13.28515625" style="2" customWidth="1"/>
    <col min="3571" max="3571" width="11.85546875" style="2" customWidth="1"/>
    <col min="3572" max="3572" width="13.140625" style="2" customWidth="1"/>
    <col min="3573" max="3573" width="14.42578125" style="2" customWidth="1"/>
    <col min="3574" max="3574" width="12.85546875" style="2" customWidth="1"/>
    <col min="3575" max="3580" width="12.28515625" style="2" bestFit="1" customWidth="1"/>
    <col min="3581" max="3588" width="13.85546875" style="2" bestFit="1" customWidth="1"/>
    <col min="3589" max="3589" width="16.28515625" style="2" customWidth="1"/>
    <col min="3590" max="3591" width="11.42578125" style="2"/>
    <col min="3592" max="3592" width="11.7109375" style="2" bestFit="1" customWidth="1"/>
    <col min="3593" max="3593" width="12.28515625" style="2" customWidth="1"/>
    <col min="3594" max="3824" width="11.42578125" style="2"/>
    <col min="3825" max="3825" width="32.42578125" style="2" customWidth="1"/>
    <col min="3826" max="3826" width="13.28515625" style="2" customWidth="1"/>
    <col min="3827" max="3827" width="11.85546875" style="2" customWidth="1"/>
    <col min="3828" max="3828" width="13.140625" style="2" customWidth="1"/>
    <col min="3829" max="3829" width="14.42578125" style="2" customWidth="1"/>
    <col min="3830" max="3830" width="12.85546875" style="2" customWidth="1"/>
    <col min="3831" max="3836" width="12.28515625" style="2" bestFit="1" customWidth="1"/>
    <col min="3837" max="3844" width="13.85546875" style="2" bestFit="1" customWidth="1"/>
    <col min="3845" max="3845" width="16.28515625" style="2" customWidth="1"/>
    <col min="3846" max="3847" width="11.42578125" style="2"/>
    <col min="3848" max="3848" width="11.7109375" style="2" bestFit="1" customWidth="1"/>
    <col min="3849" max="3849" width="12.28515625" style="2" customWidth="1"/>
    <col min="3850" max="4080" width="11.42578125" style="2"/>
    <col min="4081" max="4081" width="32.42578125" style="2" customWidth="1"/>
    <col min="4082" max="4082" width="13.28515625" style="2" customWidth="1"/>
    <col min="4083" max="4083" width="11.85546875" style="2" customWidth="1"/>
    <col min="4084" max="4084" width="13.140625" style="2" customWidth="1"/>
    <col min="4085" max="4085" width="14.42578125" style="2" customWidth="1"/>
    <col min="4086" max="4086" width="12.85546875" style="2" customWidth="1"/>
    <col min="4087" max="4092" width="12.28515625" style="2" bestFit="1" customWidth="1"/>
    <col min="4093" max="4100" width="13.85546875" style="2" bestFit="1" customWidth="1"/>
    <col min="4101" max="4101" width="16.28515625" style="2" customWidth="1"/>
    <col min="4102" max="4103" width="11.42578125" style="2"/>
    <col min="4104" max="4104" width="11.7109375" style="2" bestFit="1" customWidth="1"/>
    <col min="4105" max="4105" width="12.28515625" style="2" customWidth="1"/>
    <col min="4106" max="4336" width="11.42578125" style="2"/>
    <col min="4337" max="4337" width="32.42578125" style="2" customWidth="1"/>
    <col min="4338" max="4338" width="13.28515625" style="2" customWidth="1"/>
    <col min="4339" max="4339" width="11.85546875" style="2" customWidth="1"/>
    <col min="4340" max="4340" width="13.140625" style="2" customWidth="1"/>
    <col min="4341" max="4341" width="14.42578125" style="2" customWidth="1"/>
    <col min="4342" max="4342" width="12.85546875" style="2" customWidth="1"/>
    <col min="4343" max="4348" width="12.28515625" style="2" bestFit="1" customWidth="1"/>
    <col min="4349" max="4356" width="13.85546875" style="2" bestFit="1" customWidth="1"/>
    <col min="4357" max="4357" width="16.28515625" style="2" customWidth="1"/>
    <col min="4358" max="4359" width="11.42578125" style="2"/>
    <col min="4360" max="4360" width="11.7109375" style="2" bestFit="1" customWidth="1"/>
    <col min="4361" max="4361" width="12.28515625" style="2" customWidth="1"/>
    <col min="4362" max="4592" width="11.42578125" style="2"/>
    <col min="4593" max="4593" width="32.42578125" style="2" customWidth="1"/>
    <col min="4594" max="4594" width="13.28515625" style="2" customWidth="1"/>
    <col min="4595" max="4595" width="11.85546875" style="2" customWidth="1"/>
    <col min="4596" max="4596" width="13.140625" style="2" customWidth="1"/>
    <col min="4597" max="4597" width="14.42578125" style="2" customWidth="1"/>
    <col min="4598" max="4598" width="12.85546875" style="2" customWidth="1"/>
    <col min="4599" max="4604" width="12.28515625" style="2" bestFit="1" customWidth="1"/>
    <col min="4605" max="4612" width="13.85546875" style="2" bestFit="1" customWidth="1"/>
    <col min="4613" max="4613" width="16.28515625" style="2" customWidth="1"/>
    <col min="4614" max="4615" width="11.42578125" style="2"/>
    <col min="4616" max="4616" width="11.7109375" style="2" bestFit="1" customWidth="1"/>
    <col min="4617" max="4617" width="12.28515625" style="2" customWidth="1"/>
    <col min="4618" max="4848" width="11.42578125" style="2"/>
    <col min="4849" max="4849" width="32.42578125" style="2" customWidth="1"/>
    <col min="4850" max="4850" width="13.28515625" style="2" customWidth="1"/>
    <col min="4851" max="4851" width="11.85546875" style="2" customWidth="1"/>
    <col min="4852" max="4852" width="13.140625" style="2" customWidth="1"/>
    <col min="4853" max="4853" width="14.42578125" style="2" customWidth="1"/>
    <col min="4854" max="4854" width="12.85546875" style="2" customWidth="1"/>
    <col min="4855" max="4860" width="12.28515625" style="2" bestFit="1" customWidth="1"/>
    <col min="4861" max="4868" width="13.85546875" style="2" bestFit="1" customWidth="1"/>
    <col min="4869" max="4869" width="16.28515625" style="2" customWidth="1"/>
    <col min="4870" max="4871" width="11.42578125" style="2"/>
    <col min="4872" max="4872" width="11.7109375" style="2" bestFit="1" customWidth="1"/>
    <col min="4873" max="4873" width="12.28515625" style="2" customWidth="1"/>
    <col min="4874" max="5104" width="11.42578125" style="2"/>
    <col min="5105" max="5105" width="32.42578125" style="2" customWidth="1"/>
    <col min="5106" max="5106" width="13.28515625" style="2" customWidth="1"/>
    <col min="5107" max="5107" width="11.85546875" style="2" customWidth="1"/>
    <col min="5108" max="5108" width="13.140625" style="2" customWidth="1"/>
    <col min="5109" max="5109" width="14.42578125" style="2" customWidth="1"/>
    <col min="5110" max="5110" width="12.85546875" style="2" customWidth="1"/>
    <col min="5111" max="5116" width="12.28515625" style="2" bestFit="1" customWidth="1"/>
    <col min="5117" max="5124" width="13.85546875" style="2" bestFit="1" customWidth="1"/>
    <col min="5125" max="5125" width="16.28515625" style="2" customWidth="1"/>
    <col min="5126" max="5127" width="11.42578125" style="2"/>
    <col min="5128" max="5128" width="11.7109375" style="2" bestFit="1" customWidth="1"/>
    <col min="5129" max="5129" width="12.28515625" style="2" customWidth="1"/>
    <col min="5130" max="5360" width="11.42578125" style="2"/>
    <col min="5361" max="5361" width="32.42578125" style="2" customWidth="1"/>
    <col min="5362" max="5362" width="13.28515625" style="2" customWidth="1"/>
    <col min="5363" max="5363" width="11.85546875" style="2" customWidth="1"/>
    <col min="5364" max="5364" width="13.140625" style="2" customWidth="1"/>
    <col min="5365" max="5365" width="14.42578125" style="2" customWidth="1"/>
    <col min="5366" max="5366" width="12.85546875" style="2" customWidth="1"/>
    <col min="5367" max="5372" width="12.28515625" style="2" bestFit="1" customWidth="1"/>
    <col min="5373" max="5380" width="13.85546875" style="2" bestFit="1" customWidth="1"/>
    <col min="5381" max="5381" width="16.28515625" style="2" customWidth="1"/>
    <col min="5382" max="5383" width="11.42578125" style="2"/>
    <col min="5384" max="5384" width="11.7109375" style="2" bestFit="1" customWidth="1"/>
    <col min="5385" max="5385" width="12.28515625" style="2" customWidth="1"/>
    <col min="5386" max="5616" width="11.42578125" style="2"/>
    <col min="5617" max="5617" width="32.42578125" style="2" customWidth="1"/>
    <col min="5618" max="5618" width="13.28515625" style="2" customWidth="1"/>
    <col min="5619" max="5619" width="11.85546875" style="2" customWidth="1"/>
    <col min="5620" max="5620" width="13.140625" style="2" customWidth="1"/>
    <col min="5621" max="5621" width="14.42578125" style="2" customWidth="1"/>
    <col min="5622" max="5622" width="12.85546875" style="2" customWidth="1"/>
    <col min="5623" max="5628" width="12.28515625" style="2" bestFit="1" customWidth="1"/>
    <col min="5629" max="5636" width="13.85546875" style="2" bestFit="1" customWidth="1"/>
    <col min="5637" max="5637" width="16.28515625" style="2" customWidth="1"/>
    <col min="5638" max="5639" width="11.42578125" style="2"/>
    <col min="5640" max="5640" width="11.7109375" style="2" bestFit="1" customWidth="1"/>
    <col min="5641" max="5641" width="12.28515625" style="2" customWidth="1"/>
    <col min="5642" max="5872" width="11.42578125" style="2"/>
    <col min="5873" max="5873" width="32.42578125" style="2" customWidth="1"/>
    <col min="5874" max="5874" width="13.28515625" style="2" customWidth="1"/>
    <col min="5875" max="5875" width="11.85546875" style="2" customWidth="1"/>
    <col min="5876" max="5876" width="13.140625" style="2" customWidth="1"/>
    <col min="5877" max="5877" width="14.42578125" style="2" customWidth="1"/>
    <col min="5878" max="5878" width="12.85546875" style="2" customWidth="1"/>
    <col min="5879" max="5884" width="12.28515625" style="2" bestFit="1" customWidth="1"/>
    <col min="5885" max="5892" width="13.85546875" style="2" bestFit="1" customWidth="1"/>
    <col min="5893" max="5893" width="16.28515625" style="2" customWidth="1"/>
    <col min="5894" max="5895" width="11.42578125" style="2"/>
    <col min="5896" max="5896" width="11.7109375" style="2" bestFit="1" customWidth="1"/>
    <col min="5897" max="5897" width="12.28515625" style="2" customWidth="1"/>
    <col min="5898" max="6128" width="11.42578125" style="2"/>
    <col min="6129" max="6129" width="32.42578125" style="2" customWidth="1"/>
    <col min="6130" max="6130" width="13.28515625" style="2" customWidth="1"/>
    <col min="6131" max="6131" width="11.85546875" style="2" customWidth="1"/>
    <col min="6132" max="6132" width="13.140625" style="2" customWidth="1"/>
    <col min="6133" max="6133" width="14.42578125" style="2" customWidth="1"/>
    <col min="6134" max="6134" width="12.85546875" style="2" customWidth="1"/>
    <col min="6135" max="6140" width="12.28515625" style="2" bestFit="1" customWidth="1"/>
    <col min="6141" max="6148" width="13.85546875" style="2" bestFit="1" customWidth="1"/>
    <col min="6149" max="6149" width="16.28515625" style="2" customWidth="1"/>
    <col min="6150" max="6151" width="11.42578125" style="2"/>
    <col min="6152" max="6152" width="11.7109375" style="2" bestFit="1" customWidth="1"/>
    <col min="6153" max="6153" width="12.28515625" style="2" customWidth="1"/>
    <col min="6154" max="6384" width="11.42578125" style="2"/>
    <col min="6385" max="6385" width="32.42578125" style="2" customWidth="1"/>
    <col min="6386" max="6386" width="13.28515625" style="2" customWidth="1"/>
    <col min="6387" max="6387" width="11.85546875" style="2" customWidth="1"/>
    <col min="6388" max="6388" width="13.140625" style="2" customWidth="1"/>
    <col min="6389" max="6389" width="14.42578125" style="2" customWidth="1"/>
    <col min="6390" max="6390" width="12.85546875" style="2" customWidth="1"/>
    <col min="6391" max="6396" width="12.28515625" style="2" bestFit="1" customWidth="1"/>
    <col min="6397" max="6404" width="13.85546875" style="2" bestFit="1" customWidth="1"/>
    <col min="6405" max="6405" width="16.28515625" style="2" customWidth="1"/>
    <col min="6406" max="6407" width="11.42578125" style="2"/>
    <col min="6408" max="6408" width="11.7109375" style="2" bestFit="1" customWidth="1"/>
    <col min="6409" max="6409" width="12.28515625" style="2" customWidth="1"/>
    <col min="6410" max="6640" width="11.42578125" style="2"/>
    <col min="6641" max="6641" width="32.42578125" style="2" customWidth="1"/>
    <col min="6642" max="6642" width="13.28515625" style="2" customWidth="1"/>
    <col min="6643" max="6643" width="11.85546875" style="2" customWidth="1"/>
    <col min="6644" max="6644" width="13.140625" style="2" customWidth="1"/>
    <col min="6645" max="6645" width="14.42578125" style="2" customWidth="1"/>
    <col min="6646" max="6646" width="12.85546875" style="2" customWidth="1"/>
    <col min="6647" max="6652" width="12.28515625" style="2" bestFit="1" customWidth="1"/>
    <col min="6653" max="6660" width="13.85546875" style="2" bestFit="1" customWidth="1"/>
    <col min="6661" max="6661" width="16.28515625" style="2" customWidth="1"/>
    <col min="6662" max="6663" width="11.42578125" style="2"/>
    <col min="6664" max="6664" width="11.7109375" style="2" bestFit="1" customWidth="1"/>
    <col min="6665" max="6665" width="12.28515625" style="2" customWidth="1"/>
    <col min="6666" max="6896" width="11.42578125" style="2"/>
    <col min="6897" max="6897" width="32.42578125" style="2" customWidth="1"/>
    <col min="6898" max="6898" width="13.28515625" style="2" customWidth="1"/>
    <col min="6899" max="6899" width="11.85546875" style="2" customWidth="1"/>
    <col min="6900" max="6900" width="13.140625" style="2" customWidth="1"/>
    <col min="6901" max="6901" width="14.42578125" style="2" customWidth="1"/>
    <col min="6902" max="6902" width="12.85546875" style="2" customWidth="1"/>
    <col min="6903" max="6908" width="12.28515625" style="2" bestFit="1" customWidth="1"/>
    <col min="6909" max="6916" width="13.85546875" style="2" bestFit="1" customWidth="1"/>
    <col min="6917" max="6917" width="16.28515625" style="2" customWidth="1"/>
    <col min="6918" max="6919" width="11.42578125" style="2"/>
    <col min="6920" max="6920" width="11.7109375" style="2" bestFit="1" customWidth="1"/>
    <col min="6921" max="6921" width="12.28515625" style="2" customWidth="1"/>
    <col min="6922" max="7152" width="11.42578125" style="2"/>
    <col min="7153" max="7153" width="32.42578125" style="2" customWidth="1"/>
    <col min="7154" max="7154" width="13.28515625" style="2" customWidth="1"/>
    <col min="7155" max="7155" width="11.85546875" style="2" customWidth="1"/>
    <col min="7156" max="7156" width="13.140625" style="2" customWidth="1"/>
    <col min="7157" max="7157" width="14.42578125" style="2" customWidth="1"/>
    <col min="7158" max="7158" width="12.85546875" style="2" customWidth="1"/>
    <col min="7159" max="7164" width="12.28515625" style="2" bestFit="1" customWidth="1"/>
    <col min="7165" max="7172" width="13.85546875" style="2" bestFit="1" customWidth="1"/>
    <col min="7173" max="7173" width="16.28515625" style="2" customWidth="1"/>
    <col min="7174" max="7175" width="11.42578125" style="2"/>
    <col min="7176" max="7176" width="11.7109375" style="2" bestFit="1" customWidth="1"/>
    <col min="7177" max="7177" width="12.28515625" style="2" customWidth="1"/>
    <col min="7178" max="7408" width="11.42578125" style="2"/>
    <col min="7409" max="7409" width="32.42578125" style="2" customWidth="1"/>
    <col min="7410" max="7410" width="13.28515625" style="2" customWidth="1"/>
    <col min="7411" max="7411" width="11.85546875" style="2" customWidth="1"/>
    <col min="7412" max="7412" width="13.140625" style="2" customWidth="1"/>
    <col min="7413" max="7413" width="14.42578125" style="2" customWidth="1"/>
    <col min="7414" max="7414" width="12.85546875" style="2" customWidth="1"/>
    <col min="7415" max="7420" width="12.28515625" style="2" bestFit="1" customWidth="1"/>
    <col min="7421" max="7428" width="13.85546875" style="2" bestFit="1" customWidth="1"/>
    <col min="7429" max="7429" width="16.28515625" style="2" customWidth="1"/>
    <col min="7430" max="7431" width="11.42578125" style="2"/>
    <col min="7432" max="7432" width="11.7109375" style="2" bestFit="1" customWidth="1"/>
    <col min="7433" max="7433" width="12.28515625" style="2" customWidth="1"/>
    <col min="7434" max="7664" width="11.42578125" style="2"/>
    <col min="7665" max="7665" width="32.42578125" style="2" customWidth="1"/>
    <col min="7666" max="7666" width="13.28515625" style="2" customWidth="1"/>
    <col min="7667" max="7667" width="11.85546875" style="2" customWidth="1"/>
    <col min="7668" max="7668" width="13.140625" style="2" customWidth="1"/>
    <col min="7669" max="7669" width="14.42578125" style="2" customWidth="1"/>
    <col min="7670" max="7670" width="12.85546875" style="2" customWidth="1"/>
    <col min="7671" max="7676" width="12.28515625" style="2" bestFit="1" customWidth="1"/>
    <col min="7677" max="7684" width="13.85546875" style="2" bestFit="1" customWidth="1"/>
    <col min="7685" max="7685" width="16.28515625" style="2" customWidth="1"/>
    <col min="7686" max="7687" width="11.42578125" style="2"/>
    <col min="7688" max="7688" width="11.7109375" style="2" bestFit="1" customWidth="1"/>
    <col min="7689" max="7689" width="12.28515625" style="2" customWidth="1"/>
    <col min="7690" max="7920" width="11.42578125" style="2"/>
    <col min="7921" max="7921" width="32.42578125" style="2" customWidth="1"/>
    <col min="7922" max="7922" width="13.28515625" style="2" customWidth="1"/>
    <col min="7923" max="7923" width="11.85546875" style="2" customWidth="1"/>
    <col min="7924" max="7924" width="13.140625" style="2" customWidth="1"/>
    <col min="7925" max="7925" width="14.42578125" style="2" customWidth="1"/>
    <col min="7926" max="7926" width="12.85546875" style="2" customWidth="1"/>
    <col min="7927" max="7932" width="12.28515625" style="2" bestFit="1" customWidth="1"/>
    <col min="7933" max="7940" width="13.85546875" style="2" bestFit="1" customWidth="1"/>
    <col min="7941" max="7941" width="16.28515625" style="2" customWidth="1"/>
    <col min="7942" max="7943" width="11.42578125" style="2"/>
    <col min="7944" max="7944" width="11.7109375" style="2" bestFit="1" customWidth="1"/>
    <col min="7945" max="7945" width="12.28515625" style="2" customWidth="1"/>
    <col min="7946" max="8176" width="11.42578125" style="2"/>
    <col min="8177" max="8177" width="32.42578125" style="2" customWidth="1"/>
    <col min="8178" max="8178" width="13.28515625" style="2" customWidth="1"/>
    <col min="8179" max="8179" width="11.85546875" style="2" customWidth="1"/>
    <col min="8180" max="8180" width="13.140625" style="2" customWidth="1"/>
    <col min="8181" max="8181" width="14.42578125" style="2" customWidth="1"/>
    <col min="8182" max="8182" width="12.85546875" style="2" customWidth="1"/>
    <col min="8183" max="8188" width="12.28515625" style="2" bestFit="1" customWidth="1"/>
    <col min="8189" max="8196" width="13.85546875" style="2" bestFit="1" customWidth="1"/>
    <col min="8197" max="8197" width="16.28515625" style="2" customWidth="1"/>
    <col min="8198" max="8199" width="11.42578125" style="2"/>
    <col min="8200" max="8200" width="11.7109375" style="2" bestFit="1" customWidth="1"/>
    <col min="8201" max="8201" width="12.28515625" style="2" customWidth="1"/>
    <col min="8202" max="8432" width="11.42578125" style="2"/>
    <col min="8433" max="8433" width="32.42578125" style="2" customWidth="1"/>
    <col min="8434" max="8434" width="13.28515625" style="2" customWidth="1"/>
    <col min="8435" max="8435" width="11.85546875" style="2" customWidth="1"/>
    <col min="8436" max="8436" width="13.140625" style="2" customWidth="1"/>
    <col min="8437" max="8437" width="14.42578125" style="2" customWidth="1"/>
    <col min="8438" max="8438" width="12.85546875" style="2" customWidth="1"/>
    <col min="8439" max="8444" width="12.28515625" style="2" bestFit="1" customWidth="1"/>
    <col min="8445" max="8452" width="13.85546875" style="2" bestFit="1" customWidth="1"/>
    <col min="8453" max="8453" width="16.28515625" style="2" customWidth="1"/>
    <col min="8454" max="8455" width="11.42578125" style="2"/>
    <col min="8456" max="8456" width="11.7109375" style="2" bestFit="1" customWidth="1"/>
    <col min="8457" max="8457" width="12.28515625" style="2" customWidth="1"/>
    <col min="8458" max="8688" width="11.42578125" style="2"/>
    <col min="8689" max="8689" width="32.42578125" style="2" customWidth="1"/>
    <col min="8690" max="8690" width="13.28515625" style="2" customWidth="1"/>
    <col min="8691" max="8691" width="11.85546875" style="2" customWidth="1"/>
    <col min="8692" max="8692" width="13.140625" style="2" customWidth="1"/>
    <col min="8693" max="8693" width="14.42578125" style="2" customWidth="1"/>
    <col min="8694" max="8694" width="12.85546875" style="2" customWidth="1"/>
    <col min="8695" max="8700" width="12.28515625" style="2" bestFit="1" customWidth="1"/>
    <col min="8701" max="8708" width="13.85546875" style="2" bestFit="1" customWidth="1"/>
    <col min="8709" max="8709" width="16.28515625" style="2" customWidth="1"/>
    <col min="8710" max="8711" width="11.42578125" style="2"/>
    <col min="8712" max="8712" width="11.7109375" style="2" bestFit="1" customWidth="1"/>
    <col min="8713" max="8713" width="12.28515625" style="2" customWidth="1"/>
    <col min="8714" max="8944" width="11.42578125" style="2"/>
    <col min="8945" max="8945" width="32.42578125" style="2" customWidth="1"/>
    <col min="8946" max="8946" width="13.28515625" style="2" customWidth="1"/>
    <col min="8947" max="8947" width="11.85546875" style="2" customWidth="1"/>
    <col min="8948" max="8948" width="13.140625" style="2" customWidth="1"/>
    <col min="8949" max="8949" width="14.42578125" style="2" customWidth="1"/>
    <col min="8950" max="8950" width="12.85546875" style="2" customWidth="1"/>
    <col min="8951" max="8956" width="12.28515625" style="2" bestFit="1" customWidth="1"/>
    <col min="8957" max="8964" width="13.85546875" style="2" bestFit="1" customWidth="1"/>
    <col min="8965" max="8965" width="16.28515625" style="2" customWidth="1"/>
    <col min="8966" max="8967" width="11.42578125" style="2"/>
    <col min="8968" max="8968" width="11.7109375" style="2" bestFit="1" customWidth="1"/>
    <col min="8969" max="8969" width="12.28515625" style="2" customWidth="1"/>
    <col min="8970" max="9200" width="11.42578125" style="2"/>
    <col min="9201" max="9201" width="32.42578125" style="2" customWidth="1"/>
    <col min="9202" max="9202" width="13.28515625" style="2" customWidth="1"/>
    <col min="9203" max="9203" width="11.85546875" style="2" customWidth="1"/>
    <col min="9204" max="9204" width="13.140625" style="2" customWidth="1"/>
    <col min="9205" max="9205" width="14.42578125" style="2" customWidth="1"/>
    <col min="9206" max="9206" width="12.85546875" style="2" customWidth="1"/>
    <col min="9207" max="9212" width="12.28515625" style="2" bestFit="1" customWidth="1"/>
    <col min="9213" max="9220" width="13.85546875" style="2" bestFit="1" customWidth="1"/>
    <col min="9221" max="9221" width="16.28515625" style="2" customWidth="1"/>
    <col min="9222" max="9223" width="11.42578125" style="2"/>
    <col min="9224" max="9224" width="11.7109375" style="2" bestFit="1" customWidth="1"/>
    <col min="9225" max="9225" width="12.28515625" style="2" customWidth="1"/>
    <col min="9226" max="9456" width="11.42578125" style="2"/>
    <col min="9457" max="9457" width="32.42578125" style="2" customWidth="1"/>
    <col min="9458" max="9458" width="13.28515625" style="2" customWidth="1"/>
    <col min="9459" max="9459" width="11.85546875" style="2" customWidth="1"/>
    <col min="9460" max="9460" width="13.140625" style="2" customWidth="1"/>
    <col min="9461" max="9461" width="14.42578125" style="2" customWidth="1"/>
    <col min="9462" max="9462" width="12.85546875" style="2" customWidth="1"/>
    <col min="9463" max="9468" width="12.28515625" style="2" bestFit="1" customWidth="1"/>
    <col min="9469" max="9476" width="13.85546875" style="2" bestFit="1" customWidth="1"/>
    <col min="9477" max="9477" width="16.28515625" style="2" customWidth="1"/>
    <col min="9478" max="9479" width="11.42578125" style="2"/>
    <col min="9480" max="9480" width="11.7109375" style="2" bestFit="1" customWidth="1"/>
    <col min="9481" max="9481" width="12.28515625" style="2" customWidth="1"/>
    <col min="9482" max="9712" width="11.42578125" style="2"/>
    <col min="9713" max="9713" width="32.42578125" style="2" customWidth="1"/>
    <col min="9714" max="9714" width="13.28515625" style="2" customWidth="1"/>
    <col min="9715" max="9715" width="11.85546875" style="2" customWidth="1"/>
    <col min="9716" max="9716" width="13.140625" style="2" customWidth="1"/>
    <col min="9717" max="9717" width="14.42578125" style="2" customWidth="1"/>
    <col min="9718" max="9718" width="12.85546875" style="2" customWidth="1"/>
    <col min="9719" max="9724" width="12.28515625" style="2" bestFit="1" customWidth="1"/>
    <col min="9725" max="9732" width="13.85546875" style="2" bestFit="1" customWidth="1"/>
    <col min="9733" max="9733" width="16.28515625" style="2" customWidth="1"/>
    <col min="9734" max="9735" width="11.42578125" style="2"/>
    <col min="9736" max="9736" width="11.7109375" style="2" bestFit="1" customWidth="1"/>
    <col min="9737" max="9737" width="12.28515625" style="2" customWidth="1"/>
    <col min="9738" max="9968" width="11.42578125" style="2"/>
    <col min="9969" max="9969" width="32.42578125" style="2" customWidth="1"/>
    <col min="9970" max="9970" width="13.28515625" style="2" customWidth="1"/>
    <col min="9971" max="9971" width="11.85546875" style="2" customWidth="1"/>
    <col min="9972" max="9972" width="13.140625" style="2" customWidth="1"/>
    <col min="9973" max="9973" width="14.42578125" style="2" customWidth="1"/>
    <col min="9974" max="9974" width="12.85546875" style="2" customWidth="1"/>
    <col min="9975" max="9980" width="12.28515625" style="2" bestFit="1" customWidth="1"/>
    <col min="9981" max="9988" width="13.85546875" style="2" bestFit="1" customWidth="1"/>
    <col min="9989" max="9989" width="16.28515625" style="2" customWidth="1"/>
    <col min="9990" max="9991" width="11.42578125" style="2"/>
    <col min="9992" max="9992" width="11.7109375" style="2" bestFit="1" customWidth="1"/>
    <col min="9993" max="9993" width="12.28515625" style="2" customWidth="1"/>
    <col min="9994" max="10224" width="11.42578125" style="2"/>
    <col min="10225" max="10225" width="32.42578125" style="2" customWidth="1"/>
    <col min="10226" max="10226" width="13.28515625" style="2" customWidth="1"/>
    <col min="10227" max="10227" width="11.85546875" style="2" customWidth="1"/>
    <col min="10228" max="10228" width="13.140625" style="2" customWidth="1"/>
    <col min="10229" max="10229" width="14.42578125" style="2" customWidth="1"/>
    <col min="10230" max="10230" width="12.85546875" style="2" customWidth="1"/>
    <col min="10231" max="10236" width="12.28515625" style="2" bestFit="1" customWidth="1"/>
    <col min="10237" max="10244" width="13.85546875" style="2" bestFit="1" customWidth="1"/>
    <col min="10245" max="10245" width="16.28515625" style="2" customWidth="1"/>
    <col min="10246" max="10247" width="11.42578125" style="2"/>
    <col min="10248" max="10248" width="11.7109375" style="2" bestFit="1" customWidth="1"/>
    <col min="10249" max="10249" width="12.28515625" style="2" customWidth="1"/>
    <col min="10250" max="10480" width="11.42578125" style="2"/>
    <col min="10481" max="10481" width="32.42578125" style="2" customWidth="1"/>
    <col min="10482" max="10482" width="13.28515625" style="2" customWidth="1"/>
    <col min="10483" max="10483" width="11.85546875" style="2" customWidth="1"/>
    <col min="10484" max="10484" width="13.140625" style="2" customWidth="1"/>
    <col min="10485" max="10485" width="14.42578125" style="2" customWidth="1"/>
    <col min="10486" max="10486" width="12.85546875" style="2" customWidth="1"/>
    <col min="10487" max="10492" width="12.28515625" style="2" bestFit="1" customWidth="1"/>
    <col min="10493" max="10500" width="13.85546875" style="2" bestFit="1" customWidth="1"/>
    <col min="10501" max="10501" width="16.28515625" style="2" customWidth="1"/>
    <col min="10502" max="10503" width="11.42578125" style="2"/>
    <col min="10504" max="10504" width="11.7109375" style="2" bestFit="1" customWidth="1"/>
    <col min="10505" max="10505" width="12.28515625" style="2" customWidth="1"/>
    <col min="10506" max="10736" width="11.42578125" style="2"/>
    <col min="10737" max="10737" width="32.42578125" style="2" customWidth="1"/>
    <col min="10738" max="10738" width="13.28515625" style="2" customWidth="1"/>
    <col min="10739" max="10739" width="11.85546875" style="2" customWidth="1"/>
    <col min="10740" max="10740" width="13.140625" style="2" customWidth="1"/>
    <col min="10741" max="10741" width="14.42578125" style="2" customWidth="1"/>
    <col min="10742" max="10742" width="12.85546875" style="2" customWidth="1"/>
    <col min="10743" max="10748" width="12.28515625" style="2" bestFit="1" customWidth="1"/>
    <col min="10749" max="10756" width="13.85546875" style="2" bestFit="1" customWidth="1"/>
    <col min="10757" max="10757" width="16.28515625" style="2" customWidth="1"/>
    <col min="10758" max="10759" width="11.42578125" style="2"/>
    <col min="10760" max="10760" width="11.7109375" style="2" bestFit="1" customWidth="1"/>
    <col min="10761" max="10761" width="12.28515625" style="2" customWidth="1"/>
    <col min="10762" max="10992" width="11.42578125" style="2"/>
    <col min="10993" max="10993" width="32.42578125" style="2" customWidth="1"/>
    <col min="10994" max="10994" width="13.28515625" style="2" customWidth="1"/>
    <col min="10995" max="10995" width="11.85546875" style="2" customWidth="1"/>
    <col min="10996" max="10996" width="13.140625" style="2" customWidth="1"/>
    <col min="10997" max="10997" width="14.42578125" style="2" customWidth="1"/>
    <col min="10998" max="10998" width="12.85546875" style="2" customWidth="1"/>
    <col min="10999" max="11004" width="12.28515625" style="2" bestFit="1" customWidth="1"/>
    <col min="11005" max="11012" width="13.85546875" style="2" bestFit="1" customWidth="1"/>
    <col min="11013" max="11013" width="16.28515625" style="2" customWidth="1"/>
    <col min="11014" max="11015" width="11.42578125" style="2"/>
    <col min="11016" max="11016" width="11.7109375" style="2" bestFit="1" customWidth="1"/>
    <col min="11017" max="11017" width="12.28515625" style="2" customWidth="1"/>
    <col min="11018" max="11248" width="11.42578125" style="2"/>
    <col min="11249" max="11249" width="32.42578125" style="2" customWidth="1"/>
    <col min="11250" max="11250" width="13.28515625" style="2" customWidth="1"/>
    <col min="11251" max="11251" width="11.85546875" style="2" customWidth="1"/>
    <col min="11252" max="11252" width="13.140625" style="2" customWidth="1"/>
    <col min="11253" max="11253" width="14.42578125" style="2" customWidth="1"/>
    <col min="11254" max="11254" width="12.85546875" style="2" customWidth="1"/>
    <col min="11255" max="11260" width="12.28515625" style="2" bestFit="1" customWidth="1"/>
    <col min="11261" max="11268" width="13.85546875" style="2" bestFit="1" customWidth="1"/>
    <col min="11269" max="11269" width="16.28515625" style="2" customWidth="1"/>
    <col min="11270" max="11271" width="11.42578125" style="2"/>
    <col min="11272" max="11272" width="11.7109375" style="2" bestFit="1" customWidth="1"/>
    <col min="11273" max="11273" width="12.28515625" style="2" customWidth="1"/>
    <col min="11274" max="11504" width="11.42578125" style="2"/>
    <col min="11505" max="11505" width="32.42578125" style="2" customWidth="1"/>
    <col min="11506" max="11506" width="13.28515625" style="2" customWidth="1"/>
    <col min="11507" max="11507" width="11.85546875" style="2" customWidth="1"/>
    <col min="11508" max="11508" width="13.140625" style="2" customWidth="1"/>
    <col min="11509" max="11509" width="14.42578125" style="2" customWidth="1"/>
    <col min="11510" max="11510" width="12.85546875" style="2" customWidth="1"/>
    <col min="11511" max="11516" width="12.28515625" style="2" bestFit="1" customWidth="1"/>
    <col min="11517" max="11524" width="13.85546875" style="2" bestFit="1" customWidth="1"/>
    <col min="11525" max="11525" width="16.28515625" style="2" customWidth="1"/>
    <col min="11526" max="11527" width="11.42578125" style="2"/>
    <col min="11528" max="11528" width="11.7109375" style="2" bestFit="1" customWidth="1"/>
    <col min="11529" max="11529" width="12.28515625" style="2" customWidth="1"/>
    <col min="11530" max="11760" width="11.42578125" style="2"/>
    <col min="11761" max="11761" width="32.42578125" style="2" customWidth="1"/>
    <col min="11762" max="11762" width="13.28515625" style="2" customWidth="1"/>
    <col min="11763" max="11763" width="11.85546875" style="2" customWidth="1"/>
    <col min="11764" max="11764" width="13.140625" style="2" customWidth="1"/>
    <col min="11765" max="11765" width="14.42578125" style="2" customWidth="1"/>
    <col min="11766" max="11766" width="12.85546875" style="2" customWidth="1"/>
    <col min="11767" max="11772" width="12.28515625" style="2" bestFit="1" customWidth="1"/>
    <col min="11773" max="11780" width="13.85546875" style="2" bestFit="1" customWidth="1"/>
    <col min="11781" max="11781" width="16.28515625" style="2" customWidth="1"/>
    <col min="11782" max="11783" width="11.42578125" style="2"/>
    <col min="11784" max="11784" width="11.7109375" style="2" bestFit="1" customWidth="1"/>
    <col min="11785" max="11785" width="12.28515625" style="2" customWidth="1"/>
    <col min="11786" max="12016" width="11.42578125" style="2"/>
    <col min="12017" max="12017" width="32.42578125" style="2" customWidth="1"/>
    <col min="12018" max="12018" width="13.28515625" style="2" customWidth="1"/>
    <col min="12019" max="12019" width="11.85546875" style="2" customWidth="1"/>
    <col min="12020" max="12020" width="13.140625" style="2" customWidth="1"/>
    <col min="12021" max="12021" width="14.42578125" style="2" customWidth="1"/>
    <col min="12022" max="12022" width="12.85546875" style="2" customWidth="1"/>
    <col min="12023" max="12028" width="12.28515625" style="2" bestFit="1" customWidth="1"/>
    <col min="12029" max="12036" width="13.85546875" style="2" bestFit="1" customWidth="1"/>
    <col min="12037" max="12037" width="16.28515625" style="2" customWidth="1"/>
    <col min="12038" max="12039" width="11.42578125" style="2"/>
    <col min="12040" max="12040" width="11.7109375" style="2" bestFit="1" customWidth="1"/>
    <col min="12041" max="12041" width="12.28515625" style="2" customWidth="1"/>
    <col min="12042" max="12272" width="11.42578125" style="2"/>
    <col min="12273" max="12273" width="32.42578125" style="2" customWidth="1"/>
    <col min="12274" max="12274" width="13.28515625" style="2" customWidth="1"/>
    <col min="12275" max="12275" width="11.85546875" style="2" customWidth="1"/>
    <col min="12276" max="12276" width="13.140625" style="2" customWidth="1"/>
    <col min="12277" max="12277" width="14.42578125" style="2" customWidth="1"/>
    <col min="12278" max="12278" width="12.85546875" style="2" customWidth="1"/>
    <col min="12279" max="12284" width="12.28515625" style="2" bestFit="1" customWidth="1"/>
    <col min="12285" max="12292" width="13.85546875" style="2" bestFit="1" customWidth="1"/>
    <col min="12293" max="12293" width="16.28515625" style="2" customWidth="1"/>
    <col min="12294" max="12295" width="11.42578125" style="2"/>
    <col min="12296" max="12296" width="11.7109375" style="2" bestFit="1" customWidth="1"/>
    <col min="12297" max="12297" width="12.28515625" style="2" customWidth="1"/>
    <col min="12298" max="12528" width="11.42578125" style="2"/>
    <col min="12529" max="12529" width="32.42578125" style="2" customWidth="1"/>
    <col min="12530" max="12530" width="13.28515625" style="2" customWidth="1"/>
    <col min="12531" max="12531" width="11.85546875" style="2" customWidth="1"/>
    <col min="12532" max="12532" width="13.140625" style="2" customWidth="1"/>
    <col min="12533" max="12533" width="14.42578125" style="2" customWidth="1"/>
    <col min="12534" max="12534" width="12.85546875" style="2" customWidth="1"/>
    <col min="12535" max="12540" width="12.28515625" style="2" bestFit="1" customWidth="1"/>
    <col min="12541" max="12548" width="13.85546875" style="2" bestFit="1" customWidth="1"/>
    <col min="12549" max="12549" width="16.28515625" style="2" customWidth="1"/>
    <col min="12550" max="12551" width="11.42578125" style="2"/>
    <col min="12552" max="12552" width="11.7109375" style="2" bestFit="1" customWidth="1"/>
    <col min="12553" max="12553" width="12.28515625" style="2" customWidth="1"/>
    <col min="12554" max="12784" width="11.42578125" style="2"/>
    <col min="12785" max="12785" width="32.42578125" style="2" customWidth="1"/>
    <col min="12786" max="12786" width="13.28515625" style="2" customWidth="1"/>
    <col min="12787" max="12787" width="11.85546875" style="2" customWidth="1"/>
    <col min="12788" max="12788" width="13.140625" style="2" customWidth="1"/>
    <col min="12789" max="12789" width="14.42578125" style="2" customWidth="1"/>
    <col min="12790" max="12790" width="12.85546875" style="2" customWidth="1"/>
    <col min="12791" max="12796" width="12.28515625" style="2" bestFit="1" customWidth="1"/>
    <col min="12797" max="12804" width="13.85546875" style="2" bestFit="1" customWidth="1"/>
    <col min="12805" max="12805" width="16.28515625" style="2" customWidth="1"/>
    <col min="12806" max="12807" width="11.42578125" style="2"/>
    <col min="12808" max="12808" width="11.7109375" style="2" bestFit="1" customWidth="1"/>
    <col min="12809" max="12809" width="12.28515625" style="2" customWidth="1"/>
    <col min="12810" max="13040" width="11.42578125" style="2"/>
    <col min="13041" max="13041" width="32.42578125" style="2" customWidth="1"/>
    <col min="13042" max="13042" width="13.28515625" style="2" customWidth="1"/>
    <col min="13043" max="13043" width="11.85546875" style="2" customWidth="1"/>
    <col min="13044" max="13044" width="13.140625" style="2" customWidth="1"/>
    <col min="13045" max="13045" width="14.42578125" style="2" customWidth="1"/>
    <col min="13046" max="13046" width="12.85546875" style="2" customWidth="1"/>
    <col min="13047" max="13052" width="12.28515625" style="2" bestFit="1" customWidth="1"/>
    <col min="13053" max="13060" width="13.85546875" style="2" bestFit="1" customWidth="1"/>
    <col min="13061" max="13061" width="16.28515625" style="2" customWidth="1"/>
    <col min="13062" max="13063" width="11.42578125" style="2"/>
    <col min="13064" max="13064" width="11.7109375" style="2" bestFit="1" customWidth="1"/>
    <col min="13065" max="13065" width="12.28515625" style="2" customWidth="1"/>
    <col min="13066" max="13296" width="11.42578125" style="2"/>
    <col min="13297" max="13297" width="32.42578125" style="2" customWidth="1"/>
    <col min="13298" max="13298" width="13.28515625" style="2" customWidth="1"/>
    <col min="13299" max="13299" width="11.85546875" style="2" customWidth="1"/>
    <col min="13300" max="13300" width="13.140625" style="2" customWidth="1"/>
    <col min="13301" max="13301" width="14.42578125" style="2" customWidth="1"/>
    <col min="13302" max="13302" width="12.85546875" style="2" customWidth="1"/>
    <col min="13303" max="13308" width="12.28515625" style="2" bestFit="1" customWidth="1"/>
    <col min="13309" max="13316" width="13.85546875" style="2" bestFit="1" customWidth="1"/>
    <col min="13317" max="13317" width="16.28515625" style="2" customWidth="1"/>
    <col min="13318" max="13319" width="11.42578125" style="2"/>
    <col min="13320" max="13320" width="11.7109375" style="2" bestFit="1" customWidth="1"/>
    <col min="13321" max="13321" width="12.28515625" style="2" customWidth="1"/>
    <col min="13322" max="13552" width="11.42578125" style="2"/>
    <col min="13553" max="13553" width="32.42578125" style="2" customWidth="1"/>
    <col min="13554" max="13554" width="13.28515625" style="2" customWidth="1"/>
    <col min="13555" max="13555" width="11.85546875" style="2" customWidth="1"/>
    <col min="13556" max="13556" width="13.140625" style="2" customWidth="1"/>
    <col min="13557" max="13557" width="14.42578125" style="2" customWidth="1"/>
    <col min="13558" max="13558" width="12.85546875" style="2" customWidth="1"/>
    <col min="13559" max="13564" width="12.28515625" style="2" bestFit="1" customWidth="1"/>
    <col min="13565" max="13572" width="13.85546875" style="2" bestFit="1" customWidth="1"/>
    <col min="13573" max="13573" width="16.28515625" style="2" customWidth="1"/>
    <col min="13574" max="13575" width="11.42578125" style="2"/>
    <col min="13576" max="13576" width="11.7109375" style="2" bestFit="1" customWidth="1"/>
    <col min="13577" max="13577" width="12.28515625" style="2" customWidth="1"/>
    <col min="13578" max="13808" width="11.42578125" style="2"/>
    <col min="13809" max="13809" width="32.42578125" style="2" customWidth="1"/>
    <col min="13810" max="13810" width="13.28515625" style="2" customWidth="1"/>
    <col min="13811" max="13811" width="11.85546875" style="2" customWidth="1"/>
    <col min="13812" max="13812" width="13.140625" style="2" customWidth="1"/>
    <col min="13813" max="13813" width="14.42578125" style="2" customWidth="1"/>
    <col min="13814" max="13814" width="12.85546875" style="2" customWidth="1"/>
    <col min="13815" max="13820" width="12.28515625" style="2" bestFit="1" customWidth="1"/>
    <col min="13821" max="13828" width="13.85546875" style="2" bestFit="1" customWidth="1"/>
    <col min="13829" max="13829" width="16.28515625" style="2" customWidth="1"/>
    <col min="13830" max="13831" width="11.42578125" style="2"/>
    <col min="13832" max="13832" width="11.7109375" style="2" bestFit="1" customWidth="1"/>
    <col min="13833" max="13833" width="12.28515625" style="2" customWidth="1"/>
    <col min="13834" max="14064" width="11.42578125" style="2"/>
    <col min="14065" max="14065" width="32.42578125" style="2" customWidth="1"/>
    <col min="14066" max="14066" width="13.28515625" style="2" customWidth="1"/>
    <col min="14067" max="14067" width="11.85546875" style="2" customWidth="1"/>
    <col min="14068" max="14068" width="13.140625" style="2" customWidth="1"/>
    <col min="14069" max="14069" width="14.42578125" style="2" customWidth="1"/>
    <col min="14070" max="14070" width="12.85546875" style="2" customWidth="1"/>
    <col min="14071" max="14076" width="12.28515625" style="2" bestFit="1" customWidth="1"/>
    <col min="14077" max="14084" width="13.85546875" style="2" bestFit="1" customWidth="1"/>
    <col min="14085" max="14085" width="16.28515625" style="2" customWidth="1"/>
    <col min="14086" max="14087" width="11.42578125" style="2"/>
    <col min="14088" max="14088" width="11.7109375" style="2" bestFit="1" customWidth="1"/>
    <col min="14089" max="14089" width="12.28515625" style="2" customWidth="1"/>
    <col min="14090" max="14320" width="11.42578125" style="2"/>
    <col min="14321" max="14321" width="32.42578125" style="2" customWidth="1"/>
    <col min="14322" max="14322" width="13.28515625" style="2" customWidth="1"/>
    <col min="14323" max="14323" width="11.85546875" style="2" customWidth="1"/>
    <col min="14324" max="14324" width="13.140625" style="2" customWidth="1"/>
    <col min="14325" max="14325" width="14.42578125" style="2" customWidth="1"/>
    <col min="14326" max="14326" width="12.85546875" style="2" customWidth="1"/>
    <col min="14327" max="14332" width="12.28515625" style="2" bestFit="1" customWidth="1"/>
    <col min="14333" max="14340" width="13.85546875" style="2" bestFit="1" customWidth="1"/>
    <col min="14341" max="14341" width="16.28515625" style="2" customWidth="1"/>
    <col min="14342" max="14343" width="11.42578125" style="2"/>
    <col min="14344" max="14344" width="11.7109375" style="2" bestFit="1" customWidth="1"/>
    <col min="14345" max="14345" width="12.28515625" style="2" customWidth="1"/>
    <col min="14346" max="14576" width="11.42578125" style="2"/>
    <col min="14577" max="14577" width="32.42578125" style="2" customWidth="1"/>
    <col min="14578" max="14578" width="13.28515625" style="2" customWidth="1"/>
    <col min="14579" max="14579" width="11.85546875" style="2" customWidth="1"/>
    <col min="14580" max="14580" width="13.140625" style="2" customWidth="1"/>
    <col min="14581" max="14581" width="14.42578125" style="2" customWidth="1"/>
    <col min="14582" max="14582" width="12.85546875" style="2" customWidth="1"/>
    <col min="14583" max="14588" width="12.28515625" style="2" bestFit="1" customWidth="1"/>
    <col min="14589" max="14596" width="13.85546875" style="2" bestFit="1" customWidth="1"/>
    <col min="14597" max="14597" width="16.28515625" style="2" customWidth="1"/>
    <col min="14598" max="14599" width="11.42578125" style="2"/>
    <col min="14600" max="14600" width="11.7109375" style="2" bestFit="1" customWidth="1"/>
    <col min="14601" max="14601" width="12.28515625" style="2" customWidth="1"/>
    <col min="14602" max="14832" width="11.42578125" style="2"/>
    <col min="14833" max="14833" width="32.42578125" style="2" customWidth="1"/>
    <col min="14834" max="14834" width="13.28515625" style="2" customWidth="1"/>
    <col min="14835" max="14835" width="11.85546875" style="2" customWidth="1"/>
    <col min="14836" max="14836" width="13.140625" style="2" customWidth="1"/>
    <col min="14837" max="14837" width="14.42578125" style="2" customWidth="1"/>
    <col min="14838" max="14838" width="12.85546875" style="2" customWidth="1"/>
    <col min="14839" max="14844" width="12.28515625" style="2" bestFit="1" customWidth="1"/>
    <col min="14845" max="14852" width="13.85546875" style="2" bestFit="1" customWidth="1"/>
    <col min="14853" max="14853" width="16.28515625" style="2" customWidth="1"/>
    <col min="14854" max="14855" width="11.42578125" style="2"/>
    <col min="14856" max="14856" width="11.7109375" style="2" bestFit="1" customWidth="1"/>
    <col min="14857" max="14857" width="12.28515625" style="2" customWidth="1"/>
    <col min="14858" max="15088" width="11.42578125" style="2"/>
    <col min="15089" max="15089" width="32.42578125" style="2" customWidth="1"/>
    <col min="15090" max="15090" width="13.28515625" style="2" customWidth="1"/>
    <col min="15091" max="15091" width="11.85546875" style="2" customWidth="1"/>
    <col min="15092" max="15092" width="13.140625" style="2" customWidth="1"/>
    <col min="15093" max="15093" width="14.42578125" style="2" customWidth="1"/>
    <col min="15094" max="15094" width="12.85546875" style="2" customWidth="1"/>
    <col min="15095" max="15100" width="12.28515625" style="2" bestFit="1" customWidth="1"/>
    <col min="15101" max="15108" width="13.85546875" style="2" bestFit="1" customWidth="1"/>
    <col min="15109" max="15109" width="16.28515625" style="2" customWidth="1"/>
    <col min="15110" max="15111" width="11.42578125" style="2"/>
    <col min="15112" max="15112" width="11.7109375" style="2" bestFit="1" customWidth="1"/>
    <col min="15113" max="15113" width="12.28515625" style="2" customWidth="1"/>
    <col min="15114" max="15344" width="11.42578125" style="2"/>
    <col min="15345" max="15345" width="32.42578125" style="2" customWidth="1"/>
    <col min="15346" max="15346" width="13.28515625" style="2" customWidth="1"/>
    <col min="15347" max="15347" width="11.85546875" style="2" customWidth="1"/>
    <col min="15348" max="15348" width="13.140625" style="2" customWidth="1"/>
    <col min="15349" max="15349" width="14.42578125" style="2" customWidth="1"/>
    <col min="15350" max="15350" width="12.85546875" style="2" customWidth="1"/>
    <col min="15351" max="15356" width="12.28515625" style="2" bestFit="1" customWidth="1"/>
    <col min="15357" max="15364" width="13.85546875" style="2" bestFit="1" customWidth="1"/>
    <col min="15365" max="15365" width="16.28515625" style="2" customWidth="1"/>
    <col min="15366" max="15367" width="11.42578125" style="2"/>
    <col min="15368" max="15368" width="11.7109375" style="2" bestFit="1" customWidth="1"/>
    <col min="15369" max="15369" width="12.28515625" style="2" customWidth="1"/>
    <col min="15370" max="15600" width="11.42578125" style="2"/>
    <col min="15601" max="15601" width="32.42578125" style="2" customWidth="1"/>
    <col min="15602" max="15602" width="13.28515625" style="2" customWidth="1"/>
    <col min="15603" max="15603" width="11.85546875" style="2" customWidth="1"/>
    <col min="15604" max="15604" width="13.140625" style="2" customWidth="1"/>
    <col min="15605" max="15605" width="14.42578125" style="2" customWidth="1"/>
    <col min="15606" max="15606" width="12.85546875" style="2" customWidth="1"/>
    <col min="15607" max="15612" width="12.28515625" style="2" bestFit="1" customWidth="1"/>
    <col min="15613" max="15620" width="13.85546875" style="2" bestFit="1" customWidth="1"/>
    <col min="15621" max="15621" width="16.28515625" style="2" customWidth="1"/>
    <col min="15622" max="15623" width="11.42578125" style="2"/>
    <col min="15624" max="15624" width="11.7109375" style="2" bestFit="1" customWidth="1"/>
    <col min="15625" max="15625" width="12.28515625" style="2" customWidth="1"/>
    <col min="15626" max="15856" width="11.42578125" style="2"/>
    <col min="15857" max="15857" width="32.42578125" style="2" customWidth="1"/>
    <col min="15858" max="15858" width="13.28515625" style="2" customWidth="1"/>
    <col min="15859" max="15859" width="11.85546875" style="2" customWidth="1"/>
    <col min="15860" max="15860" width="13.140625" style="2" customWidth="1"/>
    <col min="15861" max="15861" width="14.42578125" style="2" customWidth="1"/>
    <col min="15862" max="15862" width="12.85546875" style="2" customWidth="1"/>
    <col min="15863" max="15868" width="12.28515625" style="2" bestFit="1" customWidth="1"/>
    <col min="15869" max="15876" width="13.85546875" style="2" bestFit="1" customWidth="1"/>
    <col min="15877" max="15877" width="16.28515625" style="2" customWidth="1"/>
    <col min="15878" max="15879" width="11.42578125" style="2"/>
    <col min="15880" max="15880" width="11.7109375" style="2" bestFit="1" customWidth="1"/>
    <col min="15881" max="15881" width="12.28515625" style="2" customWidth="1"/>
    <col min="15882" max="16112" width="11.42578125" style="2"/>
    <col min="16113" max="16113" width="32.42578125" style="2" customWidth="1"/>
    <col min="16114" max="16114" width="13.28515625" style="2" customWidth="1"/>
    <col min="16115" max="16115" width="11.85546875" style="2" customWidth="1"/>
    <col min="16116" max="16116" width="13.140625" style="2" customWidth="1"/>
    <col min="16117" max="16117" width="14.42578125" style="2" customWidth="1"/>
    <col min="16118" max="16118" width="12.85546875" style="2" customWidth="1"/>
    <col min="16119" max="16124" width="12.28515625" style="2" bestFit="1" customWidth="1"/>
    <col min="16125" max="16132" width="13.85546875" style="2" bestFit="1" customWidth="1"/>
    <col min="16133" max="16133" width="16.28515625" style="2" customWidth="1"/>
    <col min="16134" max="16135" width="11.42578125" style="2"/>
    <col min="16136" max="16136" width="11.7109375" style="2" bestFit="1" customWidth="1"/>
    <col min="16137" max="16137" width="12.28515625" style="2" customWidth="1"/>
    <col min="16138" max="16383" width="11.42578125" style="2"/>
    <col min="16384" max="16384" width="11.42578125" style="2" customWidth="1"/>
  </cols>
  <sheetData>
    <row r="1" spans="1:144" x14ac:dyDescent="0.25">
      <c r="A1" s="3"/>
      <c r="B1" s="3"/>
      <c r="C1" s="3"/>
      <c r="D1" s="3"/>
      <c r="E1" s="34" t="s">
        <v>182</v>
      </c>
      <c r="F1" s="3"/>
      <c r="G1" s="3"/>
    </row>
    <row r="2" spans="1:144" ht="16.5" thickBot="1" x14ac:dyDescent="0.3">
      <c r="C2" s="3"/>
      <c r="D2" s="3"/>
      <c r="F2" s="3"/>
      <c r="G2" s="3"/>
    </row>
    <row r="3" spans="1:144" s="174" customFormat="1" ht="16.5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73" t="s">
        <v>190</v>
      </c>
    </row>
    <row r="4" spans="1:144" s="174" customFormat="1" x14ac:dyDescent="0.25">
      <c r="A4" s="33"/>
      <c r="B4" s="33"/>
      <c r="C4" s="175"/>
      <c r="D4" s="175"/>
      <c r="E4" s="175"/>
      <c r="F4" s="175"/>
      <c r="G4" s="175"/>
      <c r="H4" s="175"/>
    </row>
    <row r="5" spans="1:144" x14ac:dyDescent="0.25">
      <c r="A5" s="141" t="s">
        <v>197</v>
      </c>
      <c r="B5" s="142" t="s">
        <v>5</v>
      </c>
    </row>
    <row r="6" spans="1:144" x14ac:dyDescent="0.25">
      <c r="A6" s="140" t="s">
        <v>198</v>
      </c>
      <c r="B6" s="121"/>
      <c r="D6" s="97">
        <v>0</v>
      </c>
      <c r="E6" s="97"/>
      <c r="F6" s="97"/>
      <c r="G6" s="97"/>
      <c r="H6" s="97">
        <v>54400</v>
      </c>
    </row>
    <row r="7" spans="1:144" x14ac:dyDescent="0.25">
      <c r="A7" s="143" t="s">
        <v>196</v>
      </c>
      <c r="B7" s="141"/>
      <c r="D7" s="148">
        <f t="shared" ref="D7:H7" si="0">SUM(D6:D6)</f>
        <v>0</v>
      </c>
      <c r="E7" s="148">
        <f t="shared" si="0"/>
        <v>0</v>
      </c>
      <c r="F7" s="148">
        <f t="shared" si="0"/>
        <v>0</v>
      </c>
      <c r="G7" s="148">
        <f t="shared" si="0"/>
        <v>0</v>
      </c>
      <c r="H7" s="148">
        <f t="shared" si="0"/>
        <v>54400</v>
      </c>
    </row>
    <row r="8" spans="1:144" x14ac:dyDescent="0.25">
      <c r="A8" s="3"/>
      <c r="B8" s="3"/>
      <c r="D8" s="3"/>
      <c r="E8" s="3"/>
      <c r="F8" s="3"/>
      <c r="G8" s="144"/>
      <c r="H8" s="144"/>
    </row>
    <row r="9" spans="1:144" s="71" customFormat="1" x14ac:dyDescent="0.25">
      <c r="A9" s="33" t="s">
        <v>199</v>
      </c>
      <c r="B9" s="33" t="s">
        <v>5</v>
      </c>
      <c r="D9" s="45" t="s">
        <v>184</v>
      </c>
      <c r="E9" s="45" t="s">
        <v>185</v>
      </c>
      <c r="F9" s="45" t="s">
        <v>186</v>
      </c>
      <c r="G9" s="45" t="s">
        <v>187</v>
      </c>
      <c r="H9" s="45" t="s">
        <v>190</v>
      </c>
    </row>
    <row r="10" spans="1:144" s="71" customFormat="1" x14ac:dyDescent="0.25">
      <c r="A10" s="167" t="s">
        <v>183</v>
      </c>
      <c r="B10" s="145">
        <v>10000</v>
      </c>
      <c r="D10" s="147">
        <v>10000</v>
      </c>
      <c r="E10" s="147"/>
      <c r="F10" s="147"/>
      <c r="G10" s="147"/>
      <c r="H10" s="147"/>
    </row>
    <row r="11" spans="1:144" s="73" customFormat="1" x14ac:dyDescent="0.25">
      <c r="A11" s="35" t="s">
        <v>205</v>
      </c>
      <c r="B11" s="56"/>
      <c r="D11" s="105">
        <v>5195.2278000000006</v>
      </c>
      <c r="E11" s="105">
        <v>8502.4367000000002</v>
      </c>
      <c r="F11" s="105">
        <v>6971.2448000000004</v>
      </c>
      <c r="G11" s="105">
        <v>428.44</v>
      </c>
      <c r="H11" s="105">
        <v>0</v>
      </c>
      <c r="J11" s="105"/>
      <c r="K11" s="105"/>
      <c r="L11" s="105"/>
      <c r="EN11" s="137"/>
    </row>
    <row r="12" spans="1:144" s="73" customFormat="1" x14ac:dyDescent="0.25">
      <c r="A12" s="35" t="s">
        <v>136</v>
      </c>
      <c r="B12" s="56">
        <f>+'MANO DE OBRA'!C28</f>
        <v>6102</v>
      </c>
      <c r="D12" s="105">
        <v>2403</v>
      </c>
      <c r="E12" s="105">
        <v>4806</v>
      </c>
      <c r="F12" s="105">
        <v>1201.5</v>
      </c>
      <c r="G12" s="105">
        <v>0</v>
      </c>
      <c r="H12" s="105">
        <v>0</v>
      </c>
      <c r="J12" s="177"/>
      <c r="K12" s="177"/>
      <c r="L12" s="177"/>
      <c r="EN12" s="137"/>
    </row>
    <row r="13" spans="1:144" s="73" customFormat="1" x14ac:dyDescent="0.25">
      <c r="A13" s="35" t="s">
        <v>137</v>
      </c>
      <c r="B13" s="56">
        <f>+LOGISTICA!B30</f>
        <v>2327.1</v>
      </c>
      <c r="D13" s="105">
        <v>770.6</v>
      </c>
      <c r="E13" s="105">
        <v>1541.2</v>
      </c>
      <c r="F13" s="105">
        <v>385.3</v>
      </c>
      <c r="G13" s="105">
        <v>0</v>
      </c>
      <c r="H13" s="105">
        <v>0</v>
      </c>
      <c r="EN13" s="137"/>
    </row>
    <row r="14" spans="1:144" s="67" customFormat="1" x14ac:dyDescent="0.25">
      <c r="A14" s="35" t="s">
        <v>200</v>
      </c>
      <c r="B14" s="56">
        <f>SUM(B11:B13)</f>
        <v>8429.1</v>
      </c>
      <c r="D14" s="171">
        <f>SUM(D11:D13)</f>
        <v>8368.8278000000009</v>
      </c>
      <c r="E14" s="171">
        <f>SUM(E11:E13)</f>
        <v>14849.636700000001</v>
      </c>
      <c r="F14" s="171">
        <f>SUM(F11:F13)</f>
        <v>8558.0447999999997</v>
      </c>
      <c r="G14" s="171">
        <f>SUM(G11:G13)</f>
        <v>428.44</v>
      </c>
      <c r="H14" s="171">
        <f>SUM(H11:H13)</f>
        <v>0</v>
      </c>
      <c r="EN14" s="137"/>
    </row>
    <row r="15" spans="1:144" s="67" customFormat="1" x14ac:dyDescent="0.25">
      <c r="A15" s="35" t="s">
        <v>201</v>
      </c>
      <c r="B15" s="105"/>
      <c r="C15" s="166">
        <v>0.1</v>
      </c>
      <c r="D15" s="105">
        <f>+$C$15*D11</f>
        <v>519.52278000000013</v>
      </c>
      <c r="E15" s="105">
        <f t="shared" ref="E15:F15" si="1">+$C$15*E11</f>
        <v>850.24367000000007</v>
      </c>
      <c r="F15" s="105">
        <f t="shared" si="1"/>
        <v>697.12448000000006</v>
      </c>
      <c r="G15" s="105">
        <f>+$C$15*G11</f>
        <v>42.844000000000001</v>
      </c>
      <c r="H15" s="105">
        <f>+$C$15*H11</f>
        <v>0</v>
      </c>
      <c r="EN15" s="137"/>
    </row>
    <row r="16" spans="1:144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622.1845406000001</v>
      </c>
      <c r="E16" s="105">
        <f t="shared" ref="E16:F16" si="2">(+E14+E15)*$C$16</f>
        <v>1098.9916259000001</v>
      </c>
      <c r="F16" s="105">
        <f t="shared" si="2"/>
        <v>647.86184960000003</v>
      </c>
      <c r="G16" s="105">
        <f>(+G14+G15)*0.07</f>
        <v>32.989879999999999</v>
      </c>
      <c r="H16" s="105">
        <f>(+H14+H15)*0.07</f>
        <v>0</v>
      </c>
      <c r="EN16" s="137"/>
    </row>
    <row r="17" spans="1:144" s="67" customFormat="1" x14ac:dyDescent="0.25">
      <c r="A17" s="35" t="s">
        <v>89</v>
      </c>
      <c r="B17" s="105"/>
      <c r="C17" s="166">
        <v>0.12</v>
      </c>
      <c r="D17" s="105">
        <f>(+D14+D15)*$C$17</f>
        <v>1066.6020696</v>
      </c>
      <c r="E17" s="105">
        <f t="shared" ref="E17:H17" si="3">(+E14+E15)*$C$17</f>
        <v>1883.9856444</v>
      </c>
      <c r="F17" s="105">
        <f t="shared" si="3"/>
        <v>1110.6203135999999</v>
      </c>
      <c r="G17" s="105">
        <f t="shared" si="3"/>
        <v>56.554079999999999</v>
      </c>
      <c r="H17" s="105">
        <f t="shared" si="3"/>
        <v>0</v>
      </c>
      <c r="EN17" s="137"/>
    </row>
    <row r="18" spans="1:144" s="67" customFormat="1" x14ac:dyDescent="0.25">
      <c r="A18" s="143" t="s">
        <v>181</v>
      </c>
      <c r="B18" s="141"/>
      <c r="D18" s="148">
        <f t="shared" ref="D18:H18" si="4">SUM(D14:D17)+D10</f>
        <v>20577.137190199999</v>
      </c>
      <c r="E18" s="148">
        <f t="shared" si="4"/>
        <v>18682.857640300001</v>
      </c>
      <c r="F18" s="148">
        <f t="shared" si="4"/>
        <v>11013.6514432</v>
      </c>
      <c r="G18" s="148">
        <f t="shared" si="4"/>
        <v>560.82795999999996</v>
      </c>
      <c r="H18" s="148">
        <f t="shared" si="4"/>
        <v>0</v>
      </c>
      <c r="EN18" s="137"/>
    </row>
    <row r="19" spans="1:144" s="67" customFormat="1" x14ac:dyDescent="0.25">
      <c r="A19" s="143"/>
      <c r="B19" s="141"/>
      <c r="D19" s="148"/>
      <c r="E19" s="148"/>
      <c r="F19" s="148"/>
      <c r="G19" s="148"/>
      <c r="H19" s="148"/>
      <c r="EN19" s="137"/>
    </row>
    <row r="20" spans="1:144" s="73" customFormat="1" x14ac:dyDescent="0.25">
      <c r="A20" s="140" t="s">
        <v>206</v>
      </c>
      <c r="B20" s="121"/>
      <c r="D20" s="130">
        <f>+D7-D18</f>
        <v>-20577.137190199999</v>
      </c>
      <c r="E20" s="130">
        <f>+E7-E18</f>
        <v>-18682.857640300001</v>
      </c>
      <c r="F20" s="130">
        <f>+F7-F18</f>
        <v>-11013.6514432</v>
      </c>
      <c r="G20" s="130">
        <f>+G7-G18</f>
        <v>-560.82795999999996</v>
      </c>
      <c r="H20" s="130">
        <f>+H7-H18</f>
        <v>54400</v>
      </c>
    </row>
    <row r="21" spans="1:144" s="73" customFormat="1" x14ac:dyDescent="0.25">
      <c r="A21" s="140" t="s">
        <v>210</v>
      </c>
      <c r="B21" s="121"/>
      <c r="D21" s="130">
        <v>0</v>
      </c>
      <c r="E21" s="130">
        <v>0</v>
      </c>
      <c r="F21" s="130">
        <v>0</v>
      </c>
      <c r="G21" s="130"/>
      <c r="H21" s="130">
        <v>1201.58</v>
      </c>
    </row>
    <row r="22" spans="1:144" s="73" customFormat="1" x14ac:dyDescent="0.25">
      <c r="A22" s="185" t="s">
        <v>208</v>
      </c>
      <c r="B22" s="186"/>
      <c r="C22" s="182"/>
      <c r="D22" s="183">
        <f>+D20-D21</f>
        <v>-20577.137190199999</v>
      </c>
      <c r="E22" s="183">
        <f t="shared" ref="E22:H22" si="5">+E20-E21</f>
        <v>-18682.857640300001</v>
      </c>
      <c r="F22" s="183">
        <f t="shared" si="5"/>
        <v>-11013.6514432</v>
      </c>
      <c r="G22" s="183">
        <f t="shared" si="5"/>
        <v>-560.82795999999996</v>
      </c>
      <c r="H22" s="183">
        <f t="shared" si="5"/>
        <v>53198.42</v>
      </c>
    </row>
    <row r="23" spans="1:144" x14ac:dyDescent="0.25">
      <c r="A23" s="185" t="s">
        <v>207</v>
      </c>
      <c r="B23" s="186"/>
      <c r="C23" s="184">
        <v>-50834.47</v>
      </c>
      <c r="D23" s="183">
        <f>-D22</f>
        <v>20577.137190199999</v>
      </c>
      <c r="E23" s="183">
        <f t="shared" ref="E23:G23" si="6">-E22</f>
        <v>18682.857640300001</v>
      </c>
      <c r="F23" s="183">
        <f t="shared" si="6"/>
        <v>11013.6514432</v>
      </c>
      <c r="G23" s="183">
        <f t="shared" si="6"/>
        <v>560.82795999999996</v>
      </c>
      <c r="H23" s="183">
        <v>0</v>
      </c>
      <c r="I23" s="106"/>
    </row>
    <row r="24" spans="1:144" ht="16.5" thickBot="1" x14ac:dyDescent="0.3">
      <c r="A24" s="150" t="s">
        <v>209</v>
      </c>
      <c r="B24" s="150"/>
      <c r="C24" s="151"/>
      <c r="D24" s="153">
        <f>+D22+D23</f>
        <v>0</v>
      </c>
      <c r="E24" s="153">
        <f t="shared" ref="E24:H24" si="7">+E22+E23</f>
        <v>0</v>
      </c>
      <c r="F24" s="153">
        <f t="shared" si="7"/>
        <v>0</v>
      </c>
      <c r="G24" s="153">
        <f t="shared" si="7"/>
        <v>0</v>
      </c>
      <c r="H24" s="153">
        <f t="shared" si="7"/>
        <v>53198.42</v>
      </c>
      <c r="I24" s="104"/>
    </row>
    <row r="25" spans="1:144" x14ac:dyDescent="0.25">
      <c r="A25" s="2" t="s">
        <v>195</v>
      </c>
      <c r="C25" s="121"/>
      <c r="D25" s="121"/>
      <c r="E25" s="36"/>
      <c r="F25" s="36"/>
      <c r="G25" s="36"/>
      <c r="I25" s="104"/>
    </row>
    <row r="26" spans="1:144" x14ac:dyDescent="0.25">
      <c r="A26" s="140"/>
      <c r="B26" s="140"/>
      <c r="C26" s="121"/>
      <c r="D26" s="121"/>
      <c r="E26" s="36"/>
      <c r="F26" s="36"/>
      <c r="G26" s="36"/>
      <c r="I26" s="104"/>
    </row>
    <row r="27" spans="1:144" x14ac:dyDescent="0.25">
      <c r="A27" s="140"/>
      <c r="B27" s="140"/>
      <c r="C27" s="121"/>
      <c r="D27" s="121"/>
      <c r="E27" s="36"/>
      <c r="F27" s="36"/>
      <c r="G27" s="36"/>
      <c r="I27" s="104"/>
    </row>
    <row r="28" spans="1:144" x14ac:dyDescent="0.25">
      <c r="A28" s="3"/>
      <c r="B28" s="3"/>
      <c r="C28" s="3"/>
      <c r="D28" s="3"/>
      <c r="E28" s="140" t="s">
        <v>203</v>
      </c>
      <c r="F28" s="3"/>
      <c r="G28" s="3"/>
      <c r="I28" s="3"/>
    </row>
    <row r="29" spans="1:144" ht="16.5" thickBot="1" x14ac:dyDescent="0.3">
      <c r="A29" s="150"/>
      <c r="B29" s="150"/>
      <c r="C29" s="151"/>
      <c r="D29" s="151"/>
      <c r="E29" s="152"/>
      <c r="F29" s="152"/>
      <c r="G29" s="152"/>
      <c r="H29" s="5"/>
    </row>
    <row r="30" spans="1:144" s="15" customFormat="1" ht="16.5" thickBot="1" x14ac:dyDescent="0.3">
      <c r="A30" s="170"/>
      <c r="B30" s="170"/>
      <c r="C30" s="169" t="s">
        <v>202</v>
      </c>
      <c r="D30" s="176" t="s">
        <v>184</v>
      </c>
      <c r="E30" s="176" t="s">
        <v>185</v>
      </c>
      <c r="F30" s="176" t="s">
        <v>186</v>
      </c>
      <c r="G30" s="176" t="s">
        <v>187</v>
      </c>
      <c r="H30" s="176" t="s">
        <v>190</v>
      </c>
    </row>
    <row r="31" spans="1:144" x14ac:dyDescent="0.25">
      <c r="A31" s="140" t="s">
        <v>204</v>
      </c>
      <c r="B31" s="140"/>
      <c r="C31" s="130">
        <f>+C23</f>
        <v>-50834.47</v>
      </c>
      <c r="D31" s="130">
        <v>0</v>
      </c>
      <c r="E31" s="97">
        <v>0</v>
      </c>
      <c r="F31" s="97">
        <v>0</v>
      </c>
      <c r="G31" s="97">
        <f>+G24</f>
        <v>0</v>
      </c>
      <c r="H31" s="97">
        <f t="shared" ref="H31" si="8">+H24</f>
        <v>53198.42</v>
      </c>
      <c r="J31" s="101"/>
    </row>
    <row r="32" spans="1:144" x14ac:dyDescent="0.25">
      <c r="A32" s="3" t="s">
        <v>188</v>
      </c>
      <c r="B32" s="3"/>
      <c r="C32" s="181">
        <f>IRR(C31:H31)</f>
        <v>9.1322526494443945E-3</v>
      </c>
      <c r="D32" s="3"/>
      <c r="E32" s="3"/>
      <c r="F32" s="3"/>
      <c r="G32" s="36"/>
      <c r="H32" s="36"/>
      <c r="J32" s="101"/>
    </row>
    <row r="33" spans="1:9" x14ac:dyDescent="0.25">
      <c r="A33" s="3" t="s">
        <v>189</v>
      </c>
      <c r="B33" s="3"/>
      <c r="C33" s="47">
        <f>+C32*12</f>
        <v>0.10958703179333273</v>
      </c>
      <c r="D33" s="3"/>
      <c r="E33" s="3"/>
      <c r="F33" s="3"/>
      <c r="G33" s="121"/>
      <c r="H33" s="121"/>
      <c r="I33" s="104"/>
    </row>
    <row r="34" spans="1:9" x14ac:dyDescent="0.25">
      <c r="A34" s="3" t="s">
        <v>222</v>
      </c>
      <c r="B34" s="3"/>
      <c r="C34" s="188">
        <f>NPV(0.1/12,D31:H31)+C31</f>
        <v>201.7043660920026</v>
      </c>
      <c r="D34" s="3"/>
      <c r="E34" s="3"/>
      <c r="F34" s="3"/>
      <c r="G34" s="121"/>
      <c r="H34" s="121"/>
      <c r="I34" s="104"/>
    </row>
    <row r="35" spans="1:9" ht="16.5" thickBot="1" x14ac:dyDescent="0.3">
      <c r="A35" s="5" t="s">
        <v>226</v>
      </c>
      <c r="B35" s="5"/>
      <c r="C35" s="154">
        <f>NPV(+C33/12,D31:N31)+C31</f>
        <v>0</v>
      </c>
      <c r="D35" s="5"/>
      <c r="E35" s="5"/>
      <c r="F35" s="5"/>
      <c r="G35" s="5"/>
      <c r="H35" s="5"/>
      <c r="I35" s="104"/>
    </row>
    <row r="36" spans="1:9" x14ac:dyDescent="0.25">
      <c r="A36" s="2" t="s">
        <v>102</v>
      </c>
      <c r="C36" s="3"/>
      <c r="D36" s="3"/>
      <c r="E36" s="3"/>
      <c r="F36" s="3"/>
      <c r="G36" s="3"/>
      <c r="I36" s="104"/>
    </row>
    <row r="37" spans="1:9" x14ac:dyDescent="0.25">
      <c r="I37" s="104"/>
    </row>
    <row r="38" spans="1:9" x14ac:dyDescent="0.25">
      <c r="C38" s="138"/>
      <c r="I38" s="104"/>
    </row>
    <row r="46" spans="1:9" x14ac:dyDescent="0.25">
      <c r="I46" s="129"/>
    </row>
    <row r="59" spans="6:9" x14ac:dyDescent="0.25">
      <c r="F59" s="129"/>
    </row>
    <row r="60" spans="6:9" x14ac:dyDescent="0.25">
      <c r="F60" s="129"/>
    </row>
    <row r="61" spans="6:9" x14ac:dyDescent="0.25">
      <c r="F61" s="129"/>
    </row>
    <row r="62" spans="6:9" x14ac:dyDescent="0.25">
      <c r="F62" s="129"/>
    </row>
    <row r="63" spans="6:9" x14ac:dyDescent="0.25">
      <c r="F63" s="129"/>
    </row>
    <row r="64" spans="6:9" x14ac:dyDescent="0.25">
      <c r="I64" s="129"/>
    </row>
    <row r="65" spans="9:9" x14ac:dyDescent="0.25">
      <c r="I65" s="129"/>
    </row>
    <row r="66" spans="9:9" x14ac:dyDescent="0.25">
      <c r="I66" s="129"/>
    </row>
    <row r="67" spans="9:9" x14ac:dyDescent="0.25">
      <c r="I67" s="129"/>
    </row>
    <row r="68" spans="9:9" x14ac:dyDescent="0.25">
      <c r="I68" s="1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opLeftCell="A8" workbookViewId="0">
      <selection activeCell="A26" sqref="A26"/>
    </sheetView>
  </sheetViews>
  <sheetFormatPr baseColWidth="10" defaultColWidth="11.42578125" defaultRowHeight="15.75" x14ac:dyDescent="0.25"/>
  <cols>
    <col min="1" max="1" width="29.140625" style="2" bestFit="1" customWidth="1"/>
    <col min="2" max="2" width="13.7109375" style="2" bestFit="1" customWidth="1"/>
    <col min="3" max="3" width="18.42578125" style="2" bestFit="1" customWidth="1"/>
    <col min="4" max="4" width="12.28515625" style="2" customWidth="1"/>
    <col min="5" max="16384" width="11.42578125" style="2"/>
  </cols>
  <sheetData>
    <row r="2" spans="1:4" x14ac:dyDescent="0.25">
      <c r="A2" s="216" t="s">
        <v>104</v>
      </c>
      <c r="B2" s="216"/>
      <c r="C2" s="216"/>
    </row>
    <row r="3" spans="1:4" ht="16.5" thickBot="1" x14ac:dyDescent="0.3">
      <c r="A3" s="25"/>
      <c r="B3" s="25"/>
      <c r="C3" s="25"/>
    </row>
    <row r="4" spans="1:4" ht="16.5" thickBot="1" x14ac:dyDescent="0.3">
      <c r="A4" s="87"/>
      <c r="B4" s="88" t="s">
        <v>108</v>
      </c>
      <c r="C4" s="88" t="s">
        <v>109</v>
      </c>
      <c r="D4" s="88" t="s">
        <v>162</v>
      </c>
    </row>
    <row r="5" spans="1:4" x14ac:dyDescent="0.25">
      <c r="A5" s="3" t="s">
        <v>124</v>
      </c>
      <c r="B5" s="86">
        <v>402</v>
      </c>
      <c r="C5" s="86">
        <v>402</v>
      </c>
      <c r="D5" s="86">
        <f>+B5-C5</f>
        <v>0</v>
      </c>
    </row>
    <row r="6" spans="1:4" x14ac:dyDescent="0.25">
      <c r="A6" s="3" t="s">
        <v>125</v>
      </c>
      <c r="B6" s="86">
        <v>108.45</v>
      </c>
      <c r="C6" s="86">
        <v>231.291</v>
      </c>
      <c r="D6" s="86">
        <f t="shared" ref="D6:D13" si="0">+B6-C6</f>
        <v>-122.84099999999999</v>
      </c>
    </row>
    <row r="7" spans="1:4" x14ac:dyDescent="0.25">
      <c r="A7" s="3" t="s">
        <v>126</v>
      </c>
      <c r="B7" s="86">
        <v>2240.6967000000004</v>
      </c>
      <c r="C7" s="86">
        <v>3581.2685000000006</v>
      </c>
      <c r="D7" s="86">
        <f t="shared" si="0"/>
        <v>-1340.5718000000002</v>
      </c>
    </row>
    <row r="8" spans="1:4" x14ac:dyDescent="0.25">
      <c r="A8" s="3" t="s">
        <v>127</v>
      </c>
      <c r="B8" s="86">
        <v>2745.0326000000005</v>
      </c>
      <c r="C8" s="86">
        <v>881.79960000000017</v>
      </c>
      <c r="D8" s="86">
        <f t="shared" si="0"/>
        <v>1863.2330000000002</v>
      </c>
    </row>
    <row r="9" spans="1:4" x14ac:dyDescent="0.25">
      <c r="A9" s="3" t="s">
        <v>128</v>
      </c>
      <c r="B9" s="86">
        <v>3791.3525</v>
      </c>
      <c r="C9" s="86">
        <v>4503.1860999999999</v>
      </c>
      <c r="D9" s="86">
        <f t="shared" si="0"/>
        <v>-711.83359999999993</v>
      </c>
    </row>
    <row r="10" spans="1:4" x14ac:dyDescent="0.25">
      <c r="A10" s="3" t="s">
        <v>129</v>
      </c>
      <c r="B10" s="86">
        <v>2606.85</v>
      </c>
      <c r="C10" s="86">
        <v>4098.12</v>
      </c>
      <c r="D10" s="86">
        <f t="shared" si="0"/>
        <v>-1491.27</v>
      </c>
    </row>
    <row r="11" spans="1:4" x14ac:dyDescent="0.25">
      <c r="A11" s="3" t="s">
        <v>136</v>
      </c>
      <c r="B11" s="86">
        <v>6102</v>
      </c>
      <c r="C11" s="86">
        <v>8410.5</v>
      </c>
      <c r="D11" s="86">
        <f t="shared" si="0"/>
        <v>-2308.5</v>
      </c>
    </row>
    <row r="12" spans="1:4" x14ac:dyDescent="0.25">
      <c r="A12" s="3" t="s">
        <v>137</v>
      </c>
      <c r="B12" s="86">
        <v>2327.1</v>
      </c>
      <c r="C12" s="86">
        <v>2697.1</v>
      </c>
      <c r="D12" s="86">
        <f t="shared" si="0"/>
        <v>-370</v>
      </c>
    </row>
    <row r="13" spans="1:4" ht="16.5" thickBot="1" x14ac:dyDescent="0.3">
      <c r="A13" s="19" t="s">
        <v>139</v>
      </c>
      <c r="B13" s="94">
        <f>SUM(B5:B12)</f>
        <v>20323.481800000001</v>
      </c>
      <c r="C13" s="94">
        <f>SUM(C5:C12)</f>
        <v>24805.265199999998</v>
      </c>
      <c r="D13" s="94">
        <f t="shared" si="0"/>
        <v>-4481.7833999999966</v>
      </c>
    </row>
    <row r="14" spans="1:4" x14ac:dyDescent="0.25">
      <c r="A14" s="3" t="s">
        <v>195</v>
      </c>
      <c r="B14" s="3"/>
      <c r="C14" s="3"/>
    </row>
    <row r="16" spans="1:4" x14ac:dyDescent="0.25">
      <c r="A16" s="216" t="s">
        <v>141</v>
      </c>
      <c r="B16" s="216"/>
      <c r="C16" s="216"/>
    </row>
    <row r="17" spans="1:3" ht="16.5" thickBot="1" x14ac:dyDescent="0.3">
      <c r="B17" s="12"/>
      <c r="C17" s="21"/>
    </row>
    <row r="18" spans="1:3" ht="16.5" thickBot="1" x14ac:dyDescent="0.3">
      <c r="A18" s="87"/>
      <c r="B18" s="88" t="s">
        <v>108</v>
      </c>
      <c r="C18" s="88" t="s">
        <v>109</v>
      </c>
    </row>
    <row r="19" spans="1:3" ht="16.5" thickBot="1" x14ac:dyDescent="0.3">
      <c r="A19" s="13" t="s">
        <v>140</v>
      </c>
      <c r="B19" s="89">
        <f>+B13/80</f>
        <v>254.04352250000002</v>
      </c>
      <c r="C19" s="89">
        <f>+C13/80</f>
        <v>310.06581499999999</v>
      </c>
    </row>
    <row r="20" spans="1:3" x14ac:dyDescent="0.25">
      <c r="A20" s="3" t="s">
        <v>102</v>
      </c>
    </row>
  </sheetData>
  <mergeCells count="2">
    <mergeCell ref="A2:C2"/>
    <mergeCell ref="A16:C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A2" sqref="A2"/>
    </sheetView>
  </sheetViews>
  <sheetFormatPr baseColWidth="10" defaultColWidth="11.42578125" defaultRowHeight="15.75" x14ac:dyDescent="0.25"/>
  <cols>
    <col min="1" max="1" width="3.28515625" style="7" bestFit="1" customWidth="1"/>
    <col min="2" max="2" width="32.28515625" style="2" bestFit="1" customWidth="1"/>
    <col min="3" max="3" width="13.28515625" style="2" customWidth="1"/>
    <col min="4" max="4" width="15.5703125" style="7" bestFit="1" customWidth="1"/>
    <col min="5" max="5" width="17.5703125" style="2" bestFit="1" customWidth="1"/>
    <col min="6" max="16384" width="11.42578125" style="2"/>
  </cols>
  <sheetData>
    <row r="2" spans="1:5" x14ac:dyDescent="0.25">
      <c r="A2" s="45"/>
      <c r="B2" s="216" t="s">
        <v>95</v>
      </c>
      <c r="C2" s="216"/>
      <c r="D2" s="216"/>
    </row>
    <row r="3" spans="1:5" ht="16.5" thickBot="1" x14ac:dyDescent="0.3">
      <c r="A3" s="6"/>
      <c r="B3" s="25"/>
      <c r="C3" s="25"/>
      <c r="D3" s="25"/>
      <c r="E3" s="5"/>
    </row>
    <row r="4" spans="1:5" ht="16.5" thickBot="1" x14ac:dyDescent="0.3">
      <c r="A4" s="6"/>
      <c r="B4" s="5"/>
      <c r="C4" s="90" t="s">
        <v>108</v>
      </c>
      <c r="D4" s="90" t="s">
        <v>109</v>
      </c>
      <c r="E4" s="90" t="s">
        <v>163</v>
      </c>
    </row>
    <row r="5" spans="1:5" x14ac:dyDescent="0.25">
      <c r="A5" s="92">
        <v>1</v>
      </c>
      <c r="B5" s="93" t="s">
        <v>124</v>
      </c>
      <c r="C5" s="95">
        <f>+'DETALLE RUBROS CONSTRUCTIVOS'!G6</f>
        <v>402</v>
      </c>
      <c r="D5" s="96">
        <f>+'DETALLE RUBROS CONSTRUCTIVOS'!J6</f>
        <v>402</v>
      </c>
      <c r="E5" s="96">
        <f>+C5-D5</f>
        <v>0</v>
      </c>
    </row>
    <row r="6" spans="1:5" x14ac:dyDescent="0.25">
      <c r="A6" s="45">
        <v>2</v>
      </c>
      <c r="B6" s="3" t="s">
        <v>125</v>
      </c>
      <c r="C6" s="97">
        <f>+'DETALLE RUBROS CONSTRUCTIVOS'!G10</f>
        <v>108.45</v>
      </c>
      <c r="D6" s="97">
        <f>+'DETALLE RUBROS CONSTRUCTIVOS'!J10</f>
        <v>231.291</v>
      </c>
      <c r="E6" s="97">
        <f t="shared" ref="E6:E19" si="0">+C6-D6</f>
        <v>-122.84099999999999</v>
      </c>
    </row>
    <row r="7" spans="1:5" x14ac:dyDescent="0.25">
      <c r="A7" s="45">
        <v>3</v>
      </c>
      <c r="B7" s="3" t="s">
        <v>126</v>
      </c>
      <c r="C7" s="97">
        <f>+'DETALLE RUBROS CONSTRUCTIVOS'!G14</f>
        <v>2240.6967000000004</v>
      </c>
      <c r="D7" s="97">
        <f>+'DETALLE RUBROS CONSTRUCTIVOS'!J14</f>
        <v>3581.2685000000006</v>
      </c>
      <c r="E7" s="97">
        <f t="shared" si="0"/>
        <v>-1340.5718000000002</v>
      </c>
    </row>
    <row r="8" spans="1:5" x14ac:dyDescent="0.25">
      <c r="A8" s="45">
        <v>4</v>
      </c>
      <c r="B8" s="3" t="s">
        <v>127</v>
      </c>
      <c r="C8" s="97">
        <f>+'DETALLE RUBROS CONSTRUCTIVOS'!G24</f>
        <v>2745.0326000000005</v>
      </c>
      <c r="D8" s="97">
        <f>+'DETALLE RUBROS CONSTRUCTIVOS'!J24</f>
        <v>881.79960000000017</v>
      </c>
      <c r="E8" s="97">
        <f t="shared" si="0"/>
        <v>1863.2330000000002</v>
      </c>
    </row>
    <row r="9" spans="1:5" x14ac:dyDescent="0.25">
      <c r="A9" s="45">
        <v>5</v>
      </c>
      <c r="B9" s="3" t="s">
        <v>128</v>
      </c>
      <c r="C9" s="97">
        <f>+'DETALLE RUBROS CONSTRUCTIVOS'!G30</f>
        <v>3791.3525</v>
      </c>
      <c r="D9" s="97">
        <f>+'DETALLE RUBROS CONSTRUCTIVOS'!J30</f>
        <v>4503.1860999999999</v>
      </c>
      <c r="E9" s="97">
        <f t="shared" si="0"/>
        <v>-711.83359999999993</v>
      </c>
    </row>
    <row r="10" spans="1:5" x14ac:dyDescent="0.25">
      <c r="A10" s="45">
        <v>6</v>
      </c>
      <c r="B10" s="3" t="s">
        <v>129</v>
      </c>
      <c r="C10" s="97">
        <f>+'DETALLE RUBROS CONSTRUCTIVOS'!G40</f>
        <v>2606.85</v>
      </c>
      <c r="D10" s="97">
        <f>+'DETALLE RUBROS CONSTRUCTIVOS'!J40</f>
        <v>4098.1188000000002</v>
      </c>
      <c r="E10" s="97">
        <f t="shared" si="0"/>
        <v>-1491.2688000000003</v>
      </c>
    </row>
    <row r="11" spans="1:5" x14ac:dyDescent="0.25">
      <c r="A11" s="45">
        <v>7</v>
      </c>
      <c r="B11" s="3" t="s">
        <v>130</v>
      </c>
      <c r="C11" s="97">
        <f>+'DETALLE RUBROS CONSTRUCTIVOS'!G48</f>
        <v>1068.96</v>
      </c>
      <c r="D11" s="97">
        <f>+'DETALLE RUBROS CONSTRUCTIVOS'!J48</f>
        <v>1068.96</v>
      </c>
      <c r="E11" s="97">
        <f t="shared" si="0"/>
        <v>0</v>
      </c>
    </row>
    <row r="12" spans="1:5" x14ac:dyDescent="0.25">
      <c r="A12" s="45">
        <v>8</v>
      </c>
      <c r="B12" s="3" t="s">
        <v>131</v>
      </c>
      <c r="C12" s="97">
        <f>+'DETALLE RUBROS CONSTRUCTIVOS'!G51</f>
        <v>2917.4369999999999</v>
      </c>
      <c r="D12" s="97">
        <f>+'DETALLE RUBROS CONSTRUCTIVOS'!J51</f>
        <v>2917.4369999999999</v>
      </c>
      <c r="E12" s="97">
        <f t="shared" si="0"/>
        <v>0</v>
      </c>
    </row>
    <row r="13" spans="1:5" x14ac:dyDescent="0.25">
      <c r="A13" s="45">
        <v>9</v>
      </c>
      <c r="B13" s="3" t="s">
        <v>132</v>
      </c>
      <c r="C13" s="97">
        <f>+'DETALLE RUBROS CONSTRUCTIVOS'!G63</f>
        <v>1273.248</v>
      </c>
      <c r="D13" s="97">
        <f>+'DETALLE RUBROS CONSTRUCTIVOS'!J63</f>
        <v>1762.9178000000002</v>
      </c>
      <c r="E13" s="97">
        <f t="shared" si="0"/>
        <v>-489.66980000000012</v>
      </c>
    </row>
    <row r="14" spans="1:5" x14ac:dyDescent="0.25">
      <c r="A14" s="45">
        <v>10</v>
      </c>
      <c r="B14" s="3" t="s">
        <v>133</v>
      </c>
      <c r="C14" s="97">
        <f>+'DETALLE RUBROS CONSTRUCTIVOS'!G66</f>
        <v>450</v>
      </c>
      <c r="D14" s="97">
        <f>+'DETALLE RUBROS CONSTRUCTIVOS'!J66</f>
        <v>450</v>
      </c>
      <c r="E14" s="97">
        <f t="shared" si="0"/>
        <v>0</v>
      </c>
    </row>
    <row r="15" spans="1:5" x14ac:dyDescent="0.25">
      <c r="A15" s="45">
        <v>11</v>
      </c>
      <c r="B15" s="3" t="s">
        <v>134</v>
      </c>
      <c r="C15" s="97">
        <f>+'DETALLE RUBROS CONSTRUCTIVOS'!G68</f>
        <v>750.65</v>
      </c>
      <c r="D15" s="97">
        <f>+'DETALLE RUBROS CONSTRUCTIVOS'!J68</f>
        <v>771.93</v>
      </c>
      <c r="E15" s="97">
        <f t="shared" si="0"/>
        <v>-21.279999999999973</v>
      </c>
    </row>
    <row r="16" spans="1:5" x14ac:dyDescent="0.25">
      <c r="A16" s="45">
        <v>12</v>
      </c>
      <c r="B16" s="3" t="s">
        <v>135</v>
      </c>
      <c r="C16" s="97">
        <f>+'DETALLE RUBROS CONSTRUCTIVOS'!G73</f>
        <v>776.88999999999987</v>
      </c>
      <c r="D16" s="97">
        <f>+'DETALLE RUBROS CONSTRUCTIVOS'!J73</f>
        <v>428.44</v>
      </c>
      <c r="E16" s="97">
        <f t="shared" si="0"/>
        <v>348.44999999999987</v>
      </c>
    </row>
    <row r="17" spans="1:5" x14ac:dyDescent="0.25">
      <c r="A17" s="45">
        <v>13</v>
      </c>
      <c r="B17" s="3" t="s">
        <v>136</v>
      </c>
      <c r="C17" s="97">
        <f>+'MANO DE OBRA'!C28</f>
        <v>6102</v>
      </c>
      <c r="D17" s="97">
        <f>+'MANO DE OBRA'!D28</f>
        <v>8410.5</v>
      </c>
      <c r="E17" s="97">
        <f t="shared" si="0"/>
        <v>-2308.5</v>
      </c>
    </row>
    <row r="18" spans="1:5" x14ac:dyDescent="0.25">
      <c r="A18" s="45">
        <v>14</v>
      </c>
      <c r="B18" s="3" t="s">
        <v>137</v>
      </c>
      <c r="C18" s="98">
        <f>+LOGISTICA!B30</f>
        <v>2327.1</v>
      </c>
      <c r="D18" s="98">
        <f>+LOGISTICA!C30</f>
        <v>2697.1</v>
      </c>
      <c r="E18" s="98">
        <f t="shared" si="0"/>
        <v>-370</v>
      </c>
    </row>
    <row r="19" spans="1:5" ht="16.5" thickBot="1" x14ac:dyDescent="0.3">
      <c r="A19" s="6"/>
      <c r="B19" s="5" t="s">
        <v>142</v>
      </c>
      <c r="C19" s="94">
        <f>SUM(C5:C18)</f>
        <v>27560.666800000003</v>
      </c>
      <c r="D19" s="91">
        <f>SUM(D5:D18)</f>
        <v>32204.948799999998</v>
      </c>
      <c r="E19" s="91">
        <f t="shared" si="0"/>
        <v>-4644.2819999999956</v>
      </c>
    </row>
    <row r="20" spans="1:5" x14ac:dyDescent="0.25">
      <c r="A20" s="2" t="s">
        <v>102</v>
      </c>
    </row>
    <row r="22" spans="1:5" x14ac:dyDescent="0.25">
      <c r="A22" s="45"/>
      <c r="B22" s="216" t="s">
        <v>143</v>
      </c>
      <c r="C22" s="216"/>
      <c r="D22" s="216"/>
    </row>
    <row r="23" spans="1:5" ht="16.5" thickBot="1" x14ac:dyDescent="0.3">
      <c r="A23" s="6"/>
      <c r="B23" s="25"/>
      <c r="C23" s="25"/>
      <c r="D23" s="25"/>
    </row>
    <row r="24" spans="1:5" ht="16.5" thickBot="1" x14ac:dyDescent="0.3">
      <c r="A24" s="6"/>
      <c r="B24" s="5"/>
      <c r="C24" s="90" t="s">
        <v>108</v>
      </c>
      <c r="D24" s="90" t="s">
        <v>109</v>
      </c>
    </row>
    <row r="25" spans="1:5" ht="16.5" thickBot="1" x14ac:dyDescent="0.3">
      <c r="A25" s="23"/>
      <c r="B25" s="13" t="s">
        <v>144</v>
      </c>
      <c r="C25" s="99">
        <f>+C19/80</f>
        <v>344.50833500000005</v>
      </c>
      <c r="D25" s="99">
        <f>+D19/80</f>
        <v>402.56185999999997</v>
      </c>
    </row>
    <row r="26" spans="1:5" x14ac:dyDescent="0.25">
      <c r="A26" s="2" t="s">
        <v>102</v>
      </c>
    </row>
  </sheetData>
  <mergeCells count="2">
    <mergeCell ref="B2:D2"/>
    <mergeCell ref="B22:D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68"/>
  <sheetViews>
    <sheetView topLeftCell="A17" zoomScale="96" zoomScaleNormal="96" workbookViewId="0">
      <selection activeCell="A38" sqref="A38"/>
    </sheetView>
  </sheetViews>
  <sheetFormatPr baseColWidth="10" defaultRowHeight="15.75" x14ac:dyDescent="0.25"/>
  <cols>
    <col min="1" max="1" width="13.5703125" style="2" customWidth="1"/>
    <col min="2" max="2" width="19.42578125" style="2" hidden="1" customWidth="1"/>
    <col min="3" max="3" width="15.140625" style="2" customWidth="1"/>
    <col min="4" max="7" width="13" style="2" customWidth="1"/>
    <col min="8" max="8" width="12.85546875" style="2" customWidth="1"/>
    <col min="9" max="9" width="13.140625" style="2" customWidth="1"/>
    <col min="10" max="11" width="13" style="2" customWidth="1"/>
    <col min="12" max="12" width="13.42578125" style="2" customWidth="1"/>
    <col min="13" max="13" width="12.7109375" style="2" customWidth="1"/>
    <col min="14" max="14" width="13" style="2" customWidth="1"/>
    <col min="15" max="15" width="15.42578125" style="2" customWidth="1"/>
    <col min="16" max="16" width="12.7109375" style="2" customWidth="1"/>
    <col min="17" max="17" width="11.5703125" style="2"/>
    <col min="18" max="18" width="12.7109375" style="2" customWidth="1"/>
    <col min="19" max="239" width="11.5703125" style="2"/>
    <col min="240" max="240" width="32.42578125" style="2" customWidth="1"/>
    <col min="241" max="241" width="13.28515625" style="2" customWidth="1"/>
    <col min="242" max="242" width="11.85546875" style="2" customWidth="1"/>
    <col min="243" max="243" width="13.140625" style="2" customWidth="1"/>
    <col min="244" max="244" width="14.42578125" style="2" customWidth="1"/>
    <col min="245" max="245" width="12.85546875" style="2" customWidth="1"/>
    <col min="246" max="251" width="12.28515625" style="2" bestFit="1" customWidth="1"/>
    <col min="252" max="259" width="13.85546875" style="2" bestFit="1" customWidth="1"/>
    <col min="260" max="260" width="16.28515625" style="2" customWidth="1"/>
    <col min="261" max="262" width="11.5703125" style="2"/>
    <col min="263" max="263" width="11.7109375" style="2" bestFit="1" customWidth="1"/>
    <col min="264" max="264" width="12.28515625" style="2" customWidth="1"/>
    <col min="265" max="495" width="11.5703125" style="2"/>
    <col min="496" max="496" width="32.42578125" style="2" customWidth="1"/>
    <col min="497" max="497" width="13.28515625" style="2" customWidth="1"/>
    <col min="498" max="498" width="11.85546875" style="2" customWidth="1"/>
    <col min="499" max="499" width="13.140625" style="2" customWidth="1"/>
    <col min="500" max="500" width="14.42578125" style="2" customWidth="1"/>
    <col min="501" max="501" width="12.85546875" style="2" customWidth="1"/>
    <col min="502" max="507" width="12.28515625" style="2" bestFit="1" customWidth="1"/>
    <col min="508" max="515" width="13.85546875" style="2" bestFit="1" customWidth="1"/>
    <col min="516" max="516" width="16.28515625" style="2" customWidth="1"/>
    <col min="517" max="518" width="11.5703125" style="2"/>
    <col min="519" max="519" width="11.7109375" style="2" bestFit="1" customWidth="1"/>
    <col min="520" max="520" width="12.28515625" style="2" customWidth="1"/>
    <col min="521" max="751" width="11.5703125" style="2"/>
    <col min="752" max="752" width="32.42578125" style="2" customWidth="1"/>
    <col min="753" max="753" width="13.28515625" style="2" customWidth="1"/>
    <col min="754" max="754" width="11.85546875" style="2" customWidth="1"/>
    <col min="755" max="755" width="13.140625" style="2" customWidth="1"/>
    <col min="756" max="756" width="14.42578125" style="2" customWidth="1"/>
    <col min="757" max="757" width="12.85546875" style="2" customWidth="1"/>
    <col min="758" max="763" width="12.28515625" style="2" bestFit="1" customWidth="1"/>
    <col min="764" max="771" width="13.85546875" style="2" bestFit="1" customWidth="1"/>
    <col min="772" max="772" width="16.28515625" style="2" customWidth="1"/>
    <col min="773" max="774" width="11.5703125" style="2"/>
    <col min="775" max="775" width="11.7109375" style="2" bestFit="1" customWidth="1"/>
    <col min="776" max="776" width="12.28515625" style="2" customWidth="1"/>
    <col min="777" max="1007" width="11.5703125" style="2"/>
    <col min="1008" max="1008" width="32.42578125" style="2" customWidth="1"/>
    <col min="1009" max="1009" width="13.28515625" style="2" customWidth="1"/>
    <col min="1010" max="1010" width="11.85546875" style="2" customWidth="1"/>
    <col min="1011" max="1011" width="13.140625" style="2" customWidth="1"/>
    <col min="1012" max="1012" width="14.42578125" style="2" customWidth="1"/>
    <col min="1013" max="1013" width="12.85546875" style="2" customWidth="1"/>
    <col min="1014" max="1019" width="12.28515625" style="2" bestFit="1" customWidth="1"/>
    <col min="1020" max="1027" width="13.85546875" style="2" bestFit="1" customWidth="1"/>
    <col min="1028" max="1028" width="16.28515625" style="2" customWidth="1"/>
    <col min="1029" max="1030" width="11.5703125" style="2"/>
    <col min="1031" max="1031" width="11.7109375" style="2" bestFit="1" customWidth="1"/>
    <col min="1032" max="1032" width="12.28515625" style="2" customWidth="1"/>
    <col min="1033" max="1263" width="11.5703125" style="2"/>
    <col min="1264" max="1264" width="32.42578125" style="2" customWidth="1"/>
    <col min="1265" max="1265" width="13.28515625" style="2" customWidth="1"/>
    <col min="1266" max="1266" width="11.85546875" style="2" customWidth="1"/>
    <col min="1267" max="1267" width="13.140625" style="2" customWidth="1"/>
    <col min="1268" max="1268" width="14.42578125" style="2" customWidth="1"/>
    <col min="1269" max="1269" width="12.85546875" style="2" customWidth="1"/>
    <col min="1270" max="1275" width="12.28515625" style="2" bestFit="1" customWidth="1"/>
    <col min="1276" max="1283" width="13.85546875" style="2" bestFit="1" customWidth="1"/>
    <col min="1284" max="1284" width="16.28515625" style="2" customWidth="1"/>
    <col min="1285" max="1286" width="11.5703125" style="2"/>
    <col min="1287" max="1287" width="11.7109375" style="2" bestFit="1" customWidth="1"/>
    <col min="1288" max="1288" width="12.28515625" style="2" customWidth="1"/>
    <col min="1289" max="1519" width="11.5703125" style="2"/>
    <col min="1520" max="1520" width="32.42578125" style="2" customWidth="1"/>
    <col min="1521" max="1521" width="13.28515625" style="2" customWidth="1"/>
    <col min="1522" max="1522" width="11.85546875" style="2" customWidth="1"/>
    <col min="1523" max="1523" width="13.140625" style="2" customWidth="1"/>
    <col min="1524" max="1524" width="14.42578125" style="2" customWidth="1"/>
    <col min="1525" max="1525" width="12.85546875" style="2" customWidth="1"/>
    <col min="1526" max="1531" width="12.28515625" style="2" bestFit="1" customWidth="1"/>
    <col min="1532" max="1539" width="13.85546875" style="2" bestFit="1" customWidth="1"/>
    <col min="1540" max="1540" width="16.28515625" style="2" customWidth="1"/>
    <col min="1541" max="1542" width="11.5703125" style="2"/>
    <col min="1543" max="1543" width="11.7109375" style="2" bestFit="1" customWidth="1"/>
    <col min="1544" max="1544" width="12.28515625" style="2" customWidth="1"/>
    <col min="1545" max="1775" width="11.5703125" style="2"/>
    <col min="1776" max="1776" width="32.42578125" style="2" customWidth="1"/>
    <col min="1777" max="1777" width="13.28515625" style="2" customWidth="1"/>
    <col min="1778" max="1778" width="11.85546875" style="2" customWidth="1"/>
    <col min="1779" max="1779" width="13.140625" style="2" customWidth="1"/>
    <col min="1780" max="1780" width="14.42578125" style="2" customWidth="1"/>
    <col min="1781" max="1781" width="12.85546875" style="2" customWidth="1"/>
    <col min="1782" max="1787" width="12.28515625" style="2" bestFit="1" customWidth="1"/>
    <col min="1788" max="1795" width="13.85546875" style="2" bestFit="1" customWidth="1"/>
    <col min="1796" max="1796" width="16.28515625" style="2" customWidth="1"/>
    <col min="1797" max="1798" width="11.5703125" style="2"/>
    <col min="1799" max="1799" width="11.7109375" style="2" bestFit="1" customWidth="1"/>
    <col min="1800" max="1800" width="12.28515625" style="2" customWidth="1"/>
    <col min="1801" max="2031" width="11.5703125" style="2"/>
    <col min="2032" max="2032" width="32.42578125" style="2" customWidth="1"/>
    <col min="2033" max="2033" width="13.28515625" style="2" customWidth="1"/>
    <col min="2034" max="2034" width="11.85546875" style="2" customWidth="1"/>
    <col min="2035" max="2035" width="13.140625" style="2" customWidth="1"/>
    <col min="2036" max="2036" width="14.42578125" style="2" customWidth="1"/>
    <col min="2037" max="2037" width="12.85546875" style="2" customWidth="1"/>
    <col min="2038" max="2043" width="12.28515625" style="2" bestFit="1" customWidth="1"/>
    <col min="2044" max="2051" width="13.85546875" style="2" bestFit="1" customWidth="1"/>
    <col min="2052" max="2052" width="16.28515625" style="2" customWidth="1"/>
    <col min="2053" max="2054" width="11.5703125" style="2"/>
    <col min="2055" max="2055" width="11.7109375" style="2" bestFit="1" customWidth="1"/>
    <col min="2056" max="2056" width="12.28515625" style="2" customWidth="1"/>
    <col min="2057" max="2287" width="11.5703125" style="2"/>
    <col min="2288" max="2288" width="32.42578125" style="2" customWidth="1"/>
    <col min="2289" max="2289" width="13.28515625" style="2" customWidth="1"/>
    <col min="2290" max="2290" width="11.85546875" style="2" customWidth="1"/>
    <col min="2291" max="2291" width="13.140625" style="2" customWidth="1"/>
    <col min="2292" max="2292" width="14.42578125" style="2" customWidth="1"/>
    <col min="2293" max="2293" width="12.85546875" style="2" customWidth="1"/>
    <col min="2294" max="2299" width="12.28515625" style="2" bestFit="1" customWidth="1"/>
    <col min="2300" max="2307" width="13.85546875" style="2" bestFit="1" customWidth="1"/>
    <col min="2308" max="2308" width="16.28515625" style="2" customWidth="1"/>
    <col min="2309" max="2310" width="11.5703125" style="2"/>
    <col min="2311" max="2311" width="11.7109375" style="2" bestFit="1" customWidth="1"/>
    <col min="2312" max="2312" width="12.28515625" style="2" customWidth="1"/>
    <col min="2313" max="2543" width="11.5703125" style="2"/>
    <col min="2544" max="2544" width="32.42578125" style="2" customWidth="1"/>
    <col min="2545" max="2545" width="13.28515625" style="2" customWidth="1"/>
    <col min="2546" max="2546" width="11.85546875" style="2" customWidth="1"/>
    <col min="2547" max="2547" width="13.140625" style="2" customWidth="1"/>
    <col min="2548" max="2548" width="14.42578125" style="2" customWidth="1"/>
    <col min="2549" max="2549" width="12.85546875" style="2" customWidth="1"/>
    <col min="2550" max="2555" width="12.28515625" style="2" bestFit="1" customWidth="1"/>
    <col min="2556" max="2563" width="13.85546875" style="2" bestFit="1" customWidth="1"/>
    <col min="2564" max="2564" width="16.28515625" style="2" customWidth="1"/>
    <col min="2565" max="2566" width="11.5703125" style="2"/>
    <col min="2567" max="2567" width="11.7109375" style="2" bestFit="1" customWidth="1"/>
    <col min="2568" max="2568" width="12.28515625" style="2" customWidth="1"/>
    <col min="2569" max="2799" width="11.5703125" style="2"/>
    <col min="2800" max="2800" width="32.42578125" style="2" customWidth="1"/>
    <col min="2801" max="2801" width="13.28515625" style="2" customWidth="1"/>
    <col min="2802" max="2802" width="11.85546875" style="2" customWidth="1"/>
    <col min="2803" max="2803" width="13.140625" style="2" customWidth="1"/>
    <col min="2804" max="2804" width="14.42578125" style="2" customWidth="1"/>
    <col min="2805" max="2805" width="12.85546875" style="2" customWidth="1"/>
    <col min="2806" max="2811" width="12.28515625" style="2" bestFit="1" customWidth="1"/>
    <col min="2812" max="2819" width="13.85546875" style="2" bestFit="1" customWidth="1"/>
    <col min="2820" max="2820" width="16.28515625" style="2" customWidth="1"/>
    <col min="2821" max="2822" width="11.5703125" style="2"/>
    <col min="2823" max="2823" width="11.7109375" style="2" bestFit="1" customWidth="1"/>
    <col min="2824" max="2824" width="12.28515625" style="2" customWidth="1"/>
    <col min="2825" max="3055" width="11.5703125" style="2"/>
    <col min="3056" max="3056" width="32.42578125" style="2" customWidth="1"/>
    <col min="3057" max="3057" width="13.28515625" style="2" customWidth="1"/>
    <col min="3058" max="3058" width="11.85546875" style="2" customWidth="1"/>
    <col min="3059" max="3059" width="13.140625" style="2" customWidth="1"/>
    <col min="3060" max="3060" width="14.42578125" style="2" customWidth="1"/>
    <col min="3061" max="3061" width="12.85546875" style="2" customWidth="1"/>
    <col min="3062" max="3067" width="12.28515625" style="2" bestFit="1" customWidth="1"/>
    <col min="3068" max="3075" width="13.85546875" style="2" bestFit="1" customWidth="1"/>
    <col min="3076" max="3076" width="16.28515625" style="2" customWidth="1"/>
    <col min="3077" max="3078" width="11.5703125" style="2"/>
    <col min="3079" max="3079" width="11.7109375" style="2" bestFit="1" customWidth="1"/>
    <col min="3080" max="3080" width="12.28515625" style="2" customWidth="1"/>
    <col min="3081" max="3311" width="11.5703125" style="2"/>
    <col min="3312" max="3312" width="32.42578125" style="2" customWidth="1"/>
    <col min="3313" max="3313" width="13.28515625" style="2" customWidth="1"/>
    <col min="3314" max="3314" width="11.85546875" style="2" customWidth="1"/>
    <col min="3315" max="3315" width="13.140625" style="2" customWidth="1"/>
    <col min="3316" max="3316" width="14.42578125" style="2" customWidth="1"/>
    <col min="3317" max="3317" width="12.85546875" style="2" customWidth="1"/>
    <col min="3318" max="3323" width="12.28515625" style="2" bestFit="1" customWidth="1"/>
    <col min="3324" max="3331" width="13.85546875" style="2" bestFit="1" customWidth="1"/>
    <col min="3332" max="3332" width="16.28515625" style="2" customWidth="1"/>
    <col min="3333" max="3334" width="11.5703125" style="2"/>
    <col min="3335" max="3335" width="11.7109375" style="2" bestFit="1" customWidth="1"/>
    <col min="3336" max="3336" width="12.28515625" style="2" customWidth="1"/>
    <col min="3337" max="3567" width="11.5703125" style="2"/>
    <col min="3568" max="3568" width="32.42578125" style="2" customWidth="1"/>
    <col min="3569" max="3569" width="13.28515625" style="2" customWidth="1"/>
    <col min="3570" max="3570" width="11.85546875" style="2" customWidth="1"/>
    <col min="3571" max="3571" width="13.140625" style="2" customWidth="1"/>
    <col min="3572" max="3572" width="14.42578125" style="2" customWidth="1"/>
    <col min="3573" max="3573" width="12.85546875" style="2" customWidth="1"/>
    <col min="3574" max="3579" width="12.28515625" style="2" bestFit="1" customWidth="1"/>
    <col min="3580" max="3587" width="13.85546875" style="2" bestFit="1" customWidth="1"/>
    <col min="3588" max="3588" width="16.28515625" style="2" customWidth="1"/>
    <col min="3589" max="3590" width="11.5703125" style="2"/>
    <col min="3591" max="3591" width="11.7109375" style="2" bestFit="1" customWidth="1"/>
    <col min="3592" max="3592" width="12.28515625" style="2" customWidth="1"/>
    <col min="3593" max="3823" width="11.5703125" style="2"/>
    <col min="3824" max="3824" width="32.42578125" style="2" customWidth="1"/>
    <col min="3825" max="3825" width="13.28515625" style="2" customWidth="1"/>
    <col min="3826" max="3826" width="11.85546875" style="2" customWidth="1"/>
    <col min="3827" max="3827" width="13.140625" style="2" customWidth="1"/>
    <col min="3828" max="3828" width="14.42578125" style="2" customWidth="1"/>
    <col min="3829" max="3829" width="12.85546875" style="2" customWidth="1"/>
    <col min="3830" max="3835" width="12.28515625" style="2" bestFit="1" customWidth="1"/>
    <col min="3836" max="3843" width="13.85546875" style="2" bestFit="1" customWidth="1"/>
    <col min="3844" max="3844" width="16.28515625" style="2" customWidth="1"/>
    <col min="3845" max="3846" width="11.5703125" style="2"/>
    <col min="3847" max="3847" width="11.7109375" style="2" bestFit="1" customWidth="1"/>
    <col min="3848" max="3848" width="12.28515625" style="2" customWidth="1"/>
    <col min="3849" max="4079" width="11.5703125" style="2"/>
    <col min="4080" max="4080" width="32.42578125" style="2" customWidth="1"/>
    <col min="4081" max="4081" width="13.28515625" style="2" customWidth="1"/>
    <col min="4082" max="4082" width="11.85546875" style="2" customWidth="1"/>
    <col min="4083" max="4083" width="13.140625" style="2" customWidth="1"/>
    <col min="4084" max="4084" width="14.42578125" style="2" customWidth="1"/>
    <col min="4085" max="4085" width="12.85546875" style="2" customWidth="1"/>
    <col min="4086" max="4091" width="12.28515625" style="2" bestFit="1" customWidth="1"/>
    <col min="4092" max="4099" width="13.85546875" style="2" bestFit="1" customWidth="1"/>
    <col min="4100" max="4100" width="16.28515625" style="2" customWidth="1"/>
    <col min="4101" max="4102" width="11.5703125" style="2"/>
    <col min="4103" max="4103" width="11.7109375" style="2" bestFit="1" customWidth="1"/>
    <col min="4104" max="4104" width="12.28515625" style="2" customWidth="1"/>
    <col min="4105" max="4335" width="11.5703125" style="2"/>
    <col min="4336" max="4336" width="32.42578125" style="2" customWidth="1"/>
    <col min="4337" max="4337" width="13.28515625" style="2" customWidth="1"/>
    <col min="4338" max="4338" width="11.85546875" style="2" customWidth="1"/>
    <col min="4339" max="4339" width="13.140625" style="2" customWidth="1"/>
    <col min="4340" max="4340" width="14.42578125" style="2" customWidth="1"/>
    <col min="4341" max="4341" width="12.85546875" style="2" customWidth="1"/>
    <col min="4342" max="4347" width="12.28515625" style="2" bestFit="1" customWidth="1"/>
    <col min="4348" max="4355" width="13.85546875" style="2" bestFit="1" customWidth="1"/>
    <col min="4356" max="4356" width="16.28515625" style="2" customWidth="1"/>
    <col min="4357" max="4358" width="11.5703125" style="2"/>
    <col min="4359" max="4359" width="11.7109375" style="2" bestFit="1" customWidth="1"/>
    <col min="4360" max="4360" width="12.28515625" style="2" customWidth="1"/>
    <col min="4361" max="4591" width="11.5703125" style="2"/>
    <col min="4592" max="4592" width="32.42578125" style="2" customWidth="1"/>
    <col min="4593" max="4593" width="13.28515625" style="2" customWidth="1"/>
    <col min="4594" max="4594" width="11.85546875" style="2" customWidth="1"/>
    <col min="4595" max="4595" width="13.140625" style="2" customWidth="1"/>
    <col min="4596" max="4596" width="14.42578125" style="2" customWidth="1"/>
    <col min="4597" max="4597" width="12.85546875" style="2" customWidth="1"/>
    <col min="4598" max="4603" width="12.28515625" style="2" bestFit="1" customWidth="1"/>
    <col min="4604" max="4611" width="13.85546875" style="2" bestFit="1" customWidth="1"/>
    <col min="4612" max="4612" width="16.28515625" style="2" customWidth="1"/>
    <col min="4613" max="4614" width="11.5703125" style="2"/>
    <col min="4615" max="4615" width="11.7109375" style="2" bestFit="1" customWidth="1"/>
    <col min="4616" max="4616" width="12.28515625" style="2" customWidth="1"/>
    <col min="4617" max="4847" width="11.5703125" style="2"/>
    <col min="4848" max="4848" width="32.42578125" style="2" customWidth="1"/>
    <col min="4849" max="4849" width="13.28515625" style="2" customWidth="1"/>
    <col min="4850" max="4850" width="11.85546875" style="2" customWidth="1"/>
    <col min="4851" max="4851" width="13.140625" style="2" customWidth="1"/>
    <col min="4852" max="4852" width="14.42578125" style="2" customWidth="1"/>
    <col min="4853" max="4853" width="12.85546875" style="2" customWidth="1"/>
    <col min="4854" max="4859" width="12.28515625" style="2" bestFit="1" customWidth="1"/>
    <col min="4860" max="4867" width="13.85546875" style="2" bestFit="1" customWidth="1"/>
    <col min="4868" max="4868" width="16.28515625" style="2" customWidth="1"/>
    <col min="4869" max="4870" width="11.5703125" style="2"/>
    <col min="4871" max="4871" width="11.7109375" style="2" bestFit="1" customWidth="1"/>
    <col min="4872" max="4872" width="12.28515625" style="2" customWidth="1"/>
    <col min="4873" max="5103" width="11.5703125" style="2"/>
    <col min="5104" max="5104" width="32.42578125" style="2" customWidth="1"/>
    <col min="5105" max="5105" width="13.28515625" style="2" customWidth="1"/>
    <col min="5106" max="5106" width="11.85546875" style="2" customWidth="1"/>
    <col min="5107" max="5107" width="13.140625" style="2" customWidth="1"/>
    <col min="5108" max="5108" width="14.42578125" style="2" customWidth="1"/>
    <col min="5109" max="5109" width="12.85546875" style="2" customWidth="1"/>
    <col min="5110" max="5115" width="12.28515625" style="2" bestFit="1" customWidth="1"/>
    <col min="5116" max="5123" width="13.85546875" style="2" bestFit="1" customWidth="1"/>
    <col min="5124" max="5124" width="16.28515625" style="2" customWidth="1"/>
    <col min="5125" max="5126" width="11.5703125" style="2"/>
    <col min="5127" max="5127" width="11.7109375" style="2" bestFit="1" customWidth="1"/>
    <col min="5128" max="5128" width="12.28515625" style="2" customWidth="1"/>
    <col min="5129" max="5359" width="11.5703125" style="2"/>
    <col min="5360" max="5360" width="32.42578125" style="2" customWidth="1"/>
    <col min="5361" max="5361" width="13.28515625" style="2" customWidth="1"/>
    <col min="5362" max="5362" width="11.85546875" style="2" customWidth="1"/>
    <col min="5363" max="5363" width="13.140625" style="2" customWidth="1"/>
    <col min="5364" max="5364" width="14.42578125" style="2" customWidth="1"/>
    <col min="5365" max="5365" width="12.85546875" style="2" customWidth="1"/>
    <col min="5366" max="5371" width="12.28515625" style="2" bestFit="1" customWidth="1"/>
    <col min="5372" max="5379" width="13.85546875" style="2" bestFit="1" customWidth="1"/>
    <col min="5380" max="5380" width="16.28515625" style="2" customWidth="1"/>
    <col min="5381" max="5382" width="11.5703125" style="2"/>
    <col min="5383" max="5383" width="11.7109375" style="2" bestFit="1" customWidth="1"/>
    <col min="5384" max="5384" width="12.28515625" style="2" customWidth="1"/>
    <col min="5385" max="5615" width="11.5703125" style="2"/>
    <col min="5616" max="5616" width="32.42578125" style="2" customWidth="1"/>
    <col min="5617" max="5617" width="13.28515625" style="2" customWidth="1"/>
    <col min="5618" max="5618" width="11.85546875" style="2" customWidth="1"/>
    <col min="5619" max="5619" width="13.140625" style="2" customWidth="1"/>
    <col min="5620" max="5620" width="14.42578125" style="2" customWidth="1"/>
    <col min="5621" max="5621" width="12.85546875" style="2" customWidth="1"/>
    <col min="5622" max="5627" width="12.28515625" style="2" bestFit="1" customWidth="1"/>
    <col min="5628" max="5635" width="13.85546875" style="2" bestFit="1" customWidth="1"/>
    <col min="5636" max="5636" width="16.28515625" style="2" customWidth="1"/>
    <col min="5637" max="5638" width="11.5703125" style="2"/>
    <col min="5639" max="5639" width="11.7109375" style="2" bestFit="1" customWidth="1"/>
    <col min="5640" max="5640" width="12.28515625" style="2" customWidth="1"/>
    <col min="5641" max="5871" width="11.5703125" style="2"/>
    <col min="5872" max="5872" width="32.42578125" style="2" customWidth="1"/>
    <col min="5873" max="5873" width="13.28515625" style="2" customWidth="1"/>
    <col min="5874" max="5874" width="11.85546875" style="2" customWidth="1"/>
    <col min="5875" max="5875" width="13.140625" style="2" customWidth="1"/>
    <col min="5876" max="5876" width="14.42578125" style="2" customWidth="1"/>
    <col min="5877" max="5877" width="12.85546875" style="2" customWidth="1"/>
    <col min="5878" max="5883" width="12.28515625" style="2" bestFit="1" customWidth="1"/>
    <col min="5884" max="5891" width="13.85546875" style="2" bestFit="1" customWidth="1"/>
    <col min="5892" max="5892" width="16.28515625" style="2" customWidth="1"/>
    <col min="5893" max="5894" width="11.5703125" style="2"/>
    <col min="5895" max="5895" width="11.7109375" style="2" bestFit="1" customWidth="1"/>
    <col min="5896" max="5896" width="12.28515625" style="2" customWidth="1"/>
    <col min="5897" max="6127" width="11.5703125" style="2"/>
    <col min="6128" max="6128" width="32.42578125" style="2" customWidth="1"/>
    <col min="6129" max="6129" width="13.28515625" style="2" customWidth="1"/>
    <col min="6130" max="6130" width="11.85546875" style="2" customWidth="1"/>
    <col min="6131" max="6131" width="13.140625" style="2" customWidth="1"/>
    <col min="6132" max="6132" width="14.42578125" style="2" customWidth="1"/>
    <col min="6133" max="6133" width="12.85546875" style="2" customWidth="1"/>
    <col min="6134" max="6139" width="12.28515625" style="2" bestFit="1" customWidth="1"/>
    <col min="6140" max="6147" width="13.85546875" style="2" bestFit="1" customWidth="1"/>
    <col min="6148" max="6148" width="16.28515625" style="2" customWidth="1"/>
    <col min="6149" max="6150" width="11.5703125" style="2"/>
    <col min="6151" max="6151" width="11.7109375" style="2" bestFit="1" customWidth="1"/>
    <col min="6152" max="6152" width="12.28515625" style="2" customWidth="1"/>
    <col min="6153" max="6383" width="11.5703125" style="2"/>
    <col min="6384" max="6384" width="32.42578125" style="2" customWidth="1"/>
    <col min="6385" max="6385" width="13.28515625" style="2" customWidth="1"/>
    <col min="6386" max="6386" width="11.85546875" style="2" customWidth="1"/>
    <col min="6387" max="6387" width="13.140625" style="2" customWidth="1"/>
    <col min="6388" max="6388" width="14.42578125" style="2" customWidth="1"/>
    <col min="6389" max="6389" width="12.85546875" style="2" customWidth="1"/>
    <col min="6390" max="6395" width="12.28515625" style="2" bestFit="1" customWidth="1"/>
    <col min="6396" max="6403" width="13.85546875" style="2" bestFit="1" customWidth="1"/>
    <col min="6404" max="6404" width="16.28515625" style="2" customWidth="1"/>
    <col min="6405" max="6406" width="11.5703125" style="2"/>
    <col min="6407" max="6407" width="11.7109375" style="2" bestFit="1" customWidth="1"/>
    <col min="6408" max="6408" width="12.28515625" style="2" customWidth="1"/>
    <col min="6409" max="6639" width="11.5703125" style="2"/>
    <col min="6640" max="6640" width="32.42578125" style="2" customWidth="1"/>
    <col min="6641" max="6641" width="13.28515625" style="2" customWidth="1"/>
    <col min="6642" max="6642" width="11.85546875" style="2" customWidth="1"/>
    <col min="6643" max="6643" width="13.140625" style="2" customWidth="1"/>
    <col min="6644" max="6644" width="14.42578125" style="2" customWidth="1"/>
    <col min="6645" max="6645" width="12.85546875" style="2" customWidth="1"/>
    <col min="6646" max="6651" width="12.28515625" style="2" bestFit="1" customWidth="1"/>
    <col min="6652" max="6659" width="13.85546875" style="2" bestFit="1" customWidth="1"/>
    <col min="6660" max="6660" width="16.28515625" style="2" customWidth="1"/>
    <col min="6661" max="6662" width="11.5703125" style="2"/>
    <col min="6663" max="6663" width="11.7109375" style="2" bestFit="1" customWidth="1"/>
    <col min="6664" max="6664" width="12.28515625" style="2" customWidth="1"/>
    <col min="6665" max="6895" width="11.5703125" style="2"/>
    <col min="6896" max="6896" width="32.42578125" style="2" customWidth="1"/>
    <col min="6897" max="6897" width="13.28515625" style="2" customWidth="1"/>
    <col min="6898" max="6898" width="11.85546875" style="2" customWidth="1"/>
    <col min="6899" max="6899" width="13.140625" style="2" customWidth="1"/>
    <col min="6900" max="6900" width="14.42578125" style="2" customWidth="1"/>
    <col min="6901" max="6901" width="12.85546875" style="2" customWidth="1"/>
    <col min="6902" max="6907" width="12.28515625" style="2" bestFit="1" customWidth="1"/>
    <col min="6908" max="6915" width="13.85546875" style="2" bestFit="1" customWidth="1"/>
    <col min="6916" max="6916" width="16.28515625" style="2" customWidth="1"/>
    <col min="6917" max="6918" width="11.5703125" style="2"/>
    <col min="6919" max="6919" width="11.7109375" style="2" bestFit="1" customWidth="1"/>
    <col min="6920" max="6920" width="12.28515625" style="2" customWidth="1"/>
    <col min="6921" max="7151" width="11.5703125" style="2"/>
    <col min="7152" max="7152" width="32.42578125" style="2" customWidth="1"/>
    <col min="7153" max="7153" width="13.28515625" style="2" customWidth="1"/>
    <col min="7154" max="7154" width="11.85546875" style="2" customWidth="1"/>
    <col min="7155" max="7155" width="13.140625" style="2" customWidth="1"/>
    <col min="7156" max="7156" width="14.42578125" style="2" customWidth="1"/>
    <col min="7157" max="7157" width="12.85546875" style="2" customWidth="1"/>
    <col min="7158" max="7163" width="12.28515625" style="2" bestFit="1" customWidth="1"/>
    <col min="7164" max="7171" width="13.85546875" style="2" bestFit="1" customWidth="1"/>
    <col min="7172" max="7172" width="16.28515625" style="2" customWidth="1"/>
    <col min="7173" max="7174" width="11.5703125" style="2"/>
    <col min="7175" max="7175" width="11.7109375" style="2" bestFit="1" customWidth="1"/>
    <col min="7176" max="7176" width="12.28515625" style="2" customWidth="1"/>
    <col min="7177" max="7407" width="11.5703125" style="2"/>
    <col min="7408" max="7408" width="32.42578125" style="2" customWidth="1"/>
    <col min="7409" max="7409" width="13.28515625" style="2" customWidth="1"/>
    <col min="7410" max="7410" width="11.85546875" style="2" customWidth="1"/>
    <col min="7411" max="7411" width="13.140625" style="2" customWidth="1"/>
    <col min="7412" max="7412" width="14.42578125" style="2" customWidth="1"/>
    <col min="7413" max="7413" width="12.85546875" style="2" customWidth="1"/>
    <col min="7414" max="7419" width="12.28515625" style="2" bestFit="1" customWidth="1"/>
    <col min="7420" max="7427" width="13.85546875" style="2" bestFit="1" customWidth="1"/>
    <col min="7428" max="7428" width="16.28515625" style="2" customWidth="1"/>
    <col min="7429" max="7430" width="11.5703125" style="2"/>
    <col min="7431" max="7431" width="11.7109375" style="2" bestFit="1" customWidth="1"/>
    <col min="7432" max="7432" width="12.28515625" style="2" customWidth="1"/>
    <col min="7433" max="7663" width="11.5703125" style="2"/>
    <col min="7664" max="7664" width="32.42578125" style="2" customWidth="1"/>
    <col min="7665" max="7665" width="13.28515625" style="2" customWidth="1"/>
    <col min="7666" max="7666" width="11.85546875" style="2" customWidth="1"/>
    <col min="7667" max="7667" width="13.140625" style="2" customWidth="1"/>
    <col min="7668" max="7668" width="14.42578125" style="2" customWidth="1"/>
    <col min="7669" max="7669" width="12.85546875" style="2" customWidth="1"/>
    <col min="7670" max="7675" width="12.28515625" style="2" bestFit="1" customWidth="1"/>
    <col min="7676" max="7683" width="13.85546875" style="2" bestFit="1" customWidth="1"/>
    <col min="7684" max="7684" width="16.28515625" style="2" customWidth="1"/>
    <col min="7685" max="7686" width="11.5703125" style="2"/>
    <col min="7687" max="7687" width="11.7109375" style="2" bestFit="1" customWidth="1"/>
    <col min="7688" max="7688" width="12.28515625" style="2" customWidth="1"/>
    <col min="7689" max="7919" width="11.5703125" style="2"/>
    <col min="7920" max="7920" width="32.42578125" style="2" customWidth="1"/>
    <col min="7921" max="7921" width="13.28515625" style="2" customWidth="1"/>
    <col min="7922" max="7922" width="11.85546875" style="2" customWidth="1"/>
    <col min="7923" max="7923" width="13.140625" style="2" customWidth="1"/>
    <col min="7924" max="7924" width="14.42578125" style="2" customWidth="1"/>
    <col min="7925" max="7925" width="12.85546875" style="2" customWidth="1"/>
    <col min="7926" max="7931" width="12.28515625" style="2" bestFit="1" customWidth="1"/>
    <col min="7932" max="7939" width="13.85546875" style="2" bestFit="1" customWidth="1"/>
    <col min="7940" max="7940" width="16.28515625" style="2" customWidth="1"/>
    <col min="7941" max="7942" width="11.5703125" style="2"/>
    <col min="7943" max="7943" width="11.7109375" style="2" bestFit="1" customWidth="1"/>
    <col min="7944" max="7944" width="12.28515625" style="2" customWidth="1"/>
    <col min="7945" max="8175" width="11.5703125" style="2"/>
    <col min="8176" max="8176" width="32.42578125" style="2" customWidth="1"/>
    <col min="8177" max="8177" width="13.28515625" style="2" customWidth="1"/>
    <col min="8178" max="8178" width="11.85546875" style="2" customWidth="1"/>
    <col min="8179" max="8179" width="13.140625" style="2" customWidth="1"/>
    <col min="8180" max="8180" width="14.42578125" style="2" customWidth="1"/>
    <col min="8181" max="8181" width="12.85546875" style="2" customWidth="1"/>
    <col min="8182" max="8187" width="12.28515625" style="2" bestFit="1" customWidth="1"/>
    <col min="8188" max="8195" width="13.85546875" style="2" bestFit="1" customWidth="1"/>
    <col min="8196" max="8196" width="16.28515625" style="2" customWidth="1"/>
    <col min="8197" max="8198" width="11.5703125" style="2"/>
    <col min="8199" max="8199" width="11.7109375" style="2" bestFit="1" customWidth="1"/>
    <col min="8200" max="8200" width="12.28515625" style="2" customWidth="1"/>
    <col min="8201" max="8431" width="11.5703125" style="2"/>
    <col min="8432" max="8432" width="32.42578125" style="2" customWidth="1"/>
    <col min="8433" max="8433" width="13.28515625" style="2" customWidth="1"/>
    <col min="8434" max="8434" width="11.85546875" style="2" customWidth="1"/>
    <col min="8435" max="8435" width="13.140625" style="2" customWidth="1"/>
    <col min="8436" max="8436" width="14.42578125" style="2" customWidth="1"/>
    <col min="8437" max="8437" width="12.85546875" style="2" customWidth="1"/>
    <col min="8438" max="8443" width="12.28515625" style="2" bestFit="1" customWidth="1"/>
    <col min="8444" max="8451" width="13.85546875" style="2" bestFit="1" customWidth="1"/>
    <col min="8452" max="8452" width="16.28515625" style="2" customWidth="1"/>
    <col min="8453" max="8454" width="11.5703125" style="2"/>
    <col min="8455" max="8455" width="11.7109375" style="2" bestFit="1" customWidth="1"/>
    <col min="8456" max="8456" width="12.28515625" style="2" customWidth="1"/>
    <col min="8457" max="8687" width="11.5703125" style="2"/>
    <col min="8688" max="8688" width="32.42578125" style="2" customWidth="1"/>
    <col min="8689" max="8689" width="13.28515625" style="2" customWidth="1"/>
    <col min="8690" max="8690" width="11.85546875" style="2" customWidth="1"/>
    <col min="8691" max="8691" width="13.140625" style="2" customWidth="1"/>
    <col min="8692" max="8692" width="14.42578125" style="2" customWidth="1"/>
    <col min="8693" max="8693" width="12.85546875" style="2" customWidth="1"/>
    <col min="8694" max="8699" width="12.28515625" style="2" bestFit="1" customWidth="1"/>
    <col min="8700" max="8707" width="13.85546875" style="2" bestFit="1" customWidth="1"/>
    <col min="8708" max="8708" width="16.28515625" style="2" customWidth="1"/>
    <col min="8709" max="8710" width="11.5703125" style="2"/>
    <col min="8711" max="8711" width="11.7109375" style="2" bestFit="1" customWidth="1"/>
    <col min="8712" max="8712" width="12.28515625" style="2" customWidth="1"/>
    <col min="8713" max="8943" width="11.5703125" style="2"/>
    <col min="8944" max="8944" width="32.42578125" style="2" customWidth="1"/>
    <col min="8945" max="8945" width="13.28515625" style="2" customWidth="1"/>
    <col min="8946" max="8946" width="11.85546875" style="2" customWidth="1"/>
    <col min="8947" max="8947" width="13.140625" style="2" customWidth="1"/>
    <col min="8948" max="8948" width="14.42578125" style="2" customWidth="1"/>
    <col min="8949" max="8949" width="12.85546875" style="2" customWidth="1"/>
    <col min="8950" max="8955" width="12.28515625" style="2" bestFit="1" customWidth="1"/>
    <col min="8956" max="8963" width="13.85546875" style="2" bestFit="1" customWidth="1"/>
    <col min="8964" max="8964" width="16.28515625" style="2" customWidth="1"/>
    <col min="8965" max="8966" width="11.5703125" style="2"/>
    <col min="8967" max="8967" width="11.7109375" style="2" bestFit="1" customWidth="1"/>
    <col min="8968" max="8968" width="12.28515625" style="2" customWidth="1"/>
    <col min="8969" max="9199" width="11.5703125" style="2"/>
    <col min="9200" max="9200" width="32.42578125" style="2" customWidth="1"/>
    <col min="9201" max="9201" width="13.28515625" style="2" customWidth="1"/>
    <col min="9202" max="9202" width="11.85546875" style="2" customWidth="1"/>
    <col min="9203" max="9203" width="13.140625" style="2" customWidth="1"/>
    <col min="9204" max="9204" width="14.42578125" style="2" customWidth="1"/>
    <col min="9205" max="9205" width="12.85546875" style="2" customWidth="1"/>
    <col min="9206" max="9211" width="12.28515625" style="2" bestFit="1" customWidth="1"/>
    <col min="9212" max="9219" width="13.85546875" style="2" bestFit="1" customWidth="1"/>
    <col min="9220" max="9220" width="16.28515625" style="2" customWidth="1"/>
    <col min="9221" max="9222" width="11.5703125" style="2"/>
    <col min="9223" max="9223" width="11.7109375" style="2" bestFit="1" customWidth="1"/>
    <col min="9224" max="9224" width="12.28515625" style="2" customWidth="1"/>
    <col min="9225" max="9455" width="11.5703125" style="2"/>
    <col min="9456" max="9456" width="32.42578125" style="2" customWidth="1"/>
    <col min="9457" max="9457" width="13.28515625" style="2" customWidth="1"/>
    <col min="9458" max="9458" width="11.85546875" style="2" customWidth="1"/>
    <col min="9459" max="9459" width="13.140625" style="2" customWidth="1"/>
    <col min="9460" max="9460" width="14.42578125" style="2" customWidth="1"/>
    <col min="9461" max="9461" width="12.85546875" style="2" customWidth="1"/>
    <col min="9462" max="9467" width="12.28515625" style="2" bestFit="1" customWidth="1"/>
    <col min="9468" max="9475" width="13.85546875" style="2" bestFit="1" customWidth="1"/>
    <col min="9476" max="9476" width="16.28515625" style="2" customWidth="1"/>
    <col min="9477" max="9478" width="11.5703125" style="2"/>
    <col min="9479" max="9479" width="11.7109375" style="2" bestFit="1" customWidth="1"/>
    <col min="9480" max="9480" width="12.28515625" style="2" customWidth="1"/>
    <col min="9481" max="9711" width="11.5703125" style="2"/>
    <col min="9712" max="9712" width="32.42578125" style="2" customWidth="1"/>
    <col min="9713" max="9713" width="13.28515625" style="2" customWidth="1"/>
    <col min="9714" max="9714" width="11.85546875" style="2" customWidth="1"/>
    <col min="9715" max="9715" width="13.140625" style="2" customWidth="1"/>
    <col min="9716" max="9716" width="14.42578125" style="2" customWidth="1"/>
    <col min="9717" max="9717" width="12.85546875" style="2" customWidth="1"/>
    <col min="9718" max="9723" width="12.28515625" style="2" bestFit="1" customWidth="1"/>
    <col min="9724" max="9731" width="13.85546875" style="2" bestFit="1" customWidth="1"/>
    <col min="9732" max="9732" width="16.28515625" style="2" customWidth="1"/>
    <col min="9733" max="9734" width="11.5703125" style="2"/>
    <col min="9735" max="9735" width="11.7109375" style="2" bestFit="1" customWidth="1"/>
    <col min="9736" max="9736" width="12.28515625" style="2" customWidth="1"/>
    <col min="9737" max="9967" width="11.5703125" style="2"/>
    <col min="9968" max="9968" width="32.42578125" style="2" customWidth="1"/>
    <col min="9969" max="9969" width="13.28515625" style="2" customWidth="1"/>
    <col min="9970" max="9970" width="11.85546875" style="2" customWidth="1"/>
    <col min="9971" max="9971" width="13.140625" style="2" customWidth="1"/>
    <col min="9972" max="9972" width="14.42578125" style="2" customWidth="1"/>
    <col min="9973" max="9973" width="12.85546875" style="2" customWidth="1"/>
    <col min="9974" max="9979" width="12.28515625" style="2" bestFit="1" customWidth="1"/>
    <col min="9980" max="9987" width="13.85546875" style="2" bestFit="1" customWidth="1"/>
    <col min="9988" max="9988" width="16.28515625" style="2" customWidth="1"/>
    <col min="9989" max="9990" width="11.5703125" style="2"/>
    <col min="9991" max="9991" width="11.7109375" style="2" bestFit="1" customWidth="1"/>
    <col min="9992" max="9992" width="12.28515625" style="2" customWidth="1"/>
    <col min="9993" max="10223" width="11.5703125" style="2"/>
    <col min="10224" max="10224" width="32.42578125" style="2" customWidth="1"/>
    <col min="10225" max="10225" width="13.28515625" style="2" customWidth="1"/>
    <col min="10226" max="10226" width="11.85546875" style="2" customWidth="1"/>
    <col min="10227" max="10227" width="13.140625" style="2" customWidth="1"/>
    <col min="10228" max="10228" width="14.42578125" style="2" customWidth="1"/>
    <col min="10229" max="10229" width="12.85546875" style="2" customWidth="1"/>
    <col min="10230" max="10235" width="12.28515625" style="2" bestFit="1" customWidth="1"/>
    <col min="10236" max="10243" width="13.85546875" style="2" bestFit="1" customWidth="1"/>
    <col min="10244" max="10244" width="16.28515625" style="2" customWidth="1"/>
    <col min="10245" max="10246" width="11.5703125" style="2"/>
    <col min="10247" max="10247" width="11.7109375" style="2" bestFit="1" customWidth="1"/>
    <col min="10248" max="10248" width="12.28515625" style="2" customWidth="1"/>
    <col min="10249" max="10479" width="11.5703125" style="2"/>
    <col min="10480" max="10480" width="32.42578125" style="2" customWidth="1"/>
    <col min="10481" max="10481" width="13.28515625" style="2" customWidth="1"/>
    <col min="10482" max="10482" width="11.85546875" style="2" customWidth="1"/>
    <col min="10483" max="10483" width="13.140625" style="2" customWidth="1"/>
    <col min="10484" max="10484" width="14.42578125" style="2" customWidth="1"/>
    <col min="10485" max="10485" width="12.85546875" style="2" customWidth="1"/>
    <col min="10486" max="10491" width="12.28515625" style="2" bestFit="1" customWidth="1"/>
    <col min="10492" max="10499" width="13.85546875" style="2" bestFit="1" customWidth="1"/>
    <col min="10500" max="10500" width="16.28515625" style="2" customWidth="1"/>
    <col min="10501" max="10502" width="11.5703125" style="2"/>
    <col min="10503" max="10503" width="11.7109375" style="2" bestFit="1" customWidth="1"/>
    <col min="10504" max="10504" width="12.28515625" style="2" customWidth="1"/>
    <col min="10505" max="10735" width="11.5703125" style="2"/>
    <col min="10736" max="10736" width="32.42578125" style="2" customWidth="1"/>
    <col min="10737" max="10737" width="13.28515625" style="2" customWidth="1"/>
    <col min="10738" max="10738" width="11.85546875" style="2" customWidth="1"/>
    <col min="10739" max="10739" width="13.140625" style="2" customWidth="1"/>
    <col min="10740" max="10740" width="14.42578125" style="2" customWidth="1"/>
    <col min="10741" max="10741" width="12.85546875" style="2" customWidth="1"/>
    <col min="10742" max="10747" width="12.28515625" style="2" bestFit="1" customWidth="1"/>
    <col min="10748" max="10755" width="13.85546875" style="2" bestFit="1" customWidth="1"/>
    <col min="10756" max="10756" width="16.28515625" style="2" customWidth="1"/>
    <col min="10757" max="10758" width="11.5703125" style="2"/>
    <col min="10759" max="10759" width="11.7109375" style="2" bestFit="1" customWidth="1"/>
    <col min="10760" max="10760" width="12.28515625" style="2" customWidth="1"/>
    <col min="10761" max="10991" width="11.5703125" style="2"/>
    <col min="10992" max="10992" width="32.42578125" style="2" customWidth="1"/>
    <col min="10993" max="10993" width="13.28515625" style="2" customWidth="1"/>
    <col min="10994" max="10994" width="11.85546875" style="2" customWidth="1"/>
    <col min="10995" max="10995" width="13.140625" style="2" customWidth="1"/>
    <col min="10996" max="10996" width="14.42578125" style="2" customWidth="1"/>
    <col min="10997" max="10997" width="12.85546875" style="2" customWidth="1"/>
    <col min="10998" max="11003" width="12.28515625" style="2" bestFit="1" customWidth="1"/>
    <col min="11004" max="11011" width="13.85546875" style="2" bestFit="1" customWidth="1"/>
    <col min="11012" max="11012" width="16.28515625" style="2" customWidth="1"/>
    <col min="11013" max="11014" width="11.5703125" style="2"/>
    <col min="11015" max="11015" width="11.7109375" style="2" bestFit="1" customWidth="1"/>
    <col min="11016" max="11016" width="12.28515625" style="2" customWidth="1"/>
    <col min="11017" max="11247" width="11.5703125" style="2"/>
    <col min="11248" max="11248" width="32.42578125" style="2" customWidth="1"/>
    <col min="11249" max="11249" width="13.28515625" style="2" customWidth="1"/>
    <col min="11250" max="11250" width="11.85546875" style="2" customWidth="1"/>
    <col min="11251" max="11251" width="13.140625" style="2" customWidth="1"/>
    <col min="11252" max="11252" width="14.42578125" style="2" customWidth="1"/>
    <col min="11253" max="11253" width="12.85546875" style="2" customWidth="1"/>
    <col min="11254" max="11259" width="12.28515625" style="2" bestFit="1" customWidth="1"/>
    <col min="11260" max="11267" width="13.85546875" style="2" bestFit="1" customWidth="1"/>
    <col min="11268" max="11268" width="16.28515625" style="2" customWidth="1"/>
    <col min="11269" max="11270" width="11.5703125" style="2"/>
    <col min="11271" max="11271" width="11.7109375" style="2" bestFit="1" customWidth="1"/>
    <col min="11272" max="11272" width="12.28515625" style="2" customWidth="1"/>
    <col min="11273" max="11503" width="11.5703125" style="2"/>
    <col min="11504" max="11504" width="32.42578125" style="2" customWidth="1"/>
    <col min="11505" max="11505" width="13.28515625" style="2" customWidth="1"/>
    <col min="11506" max="11506" width="11.85546875" style="2" customWidth="1"/>
    <col min="11507" max="11507" width="13.140625" style="2" customWidth="1"/>
    <col min="11508" max="11508" width="14.42578125" style="2" customWidth="1"/>
    <col min="11509" max="11509" width="12.85546875" style="2" customWidth="1"/>
    <col min="11510" max="11515" width="12.28515625" style="2" bestFit="1" customWidth="1"/>
    <col min="11516" max="11523" width="13.85546875" style="2" bestFit="1" customWidth="1"/>
    <col min="11524" max="11524" width="16.28515625" style="2" customWidth="1"/>
    <col min="11525" max="11526" width="11.5703125" style="2"/>
    <col min="11527" max="11527" width="11.7109375" style="2" bestFit="1" customWidth="1"/>
    <col min="11528" max="11528" width="12.28515625" style="2" customWidth="1"/>
    <col min="11529" max="11759" width="11.5703125" style="2"/>
    <col min="11760" max="11760" width="32.42578125" style="2" customWidth="1"/>
    <col min="11761" max="11761" width="13.28515625" style="2" customWidth="1"/>
    <col min="11762" max="11762" width="11.85546875" style="2" customWidth="1"/>
    <col min="11763" max="11763" width="13.140625" style="2" customWidth="1"/>
    <col min="11764" max="11764" width="14.42578125" style="2" customWidth="1"/>
    <col min="11765" max="11765" width="12.85546875" style="2" customWidth="1"/>
    <col min="11766" max="11771" width="12.28515625" style="2" bestFit="1" customWidth="1"/>
    <col min="11772" max="11779" width="13.85546875" style="2" bestFit="1" customWidth="1"/>
    <col min="11780" max="11780" width="16.28515625" style="2" customWidth="1"/>
    <col min="11781" max="11782" width="11.5703125" style="2"/>
    <col min="11783" max="11783" width="11.7109375" style="2" bestFit="1" customWidth="1"/>
    <col min="11784" max="11784" width="12.28515625" style="2" customWidth="1"/>
    <col min="11785" max="12015" width="11.5703125" style="2"/>
    <col min="12016" max="12016" width="32.42578125" style="2" customWidth="1"/>
    <col min="12017" max="12017" width="13.28515625" style="2" customWidth="1"/>
    <col min="12018" max="12018" width="11.85546875" style="2" customWidth="1"/>
    <col min="12019" max="12019" width="13.140625" style="2" customWidth="1"/>
    <col min="12020" max="12020" width="14.42578125" style="2" customWidth="1"/>
    <col min="12021" max="12021" width="12.85546875" style="2" customWidth="1"/>
    <col min="12022" max="12027" width="12.28515625" style="2" bestFit="1" customWidth="1"/>
    <col min="12028" max="12035" width="13.85546875" style="2" bestFit="1" customWidth="1"/>
    <col min="12036" max="12036" width="16.28515625" style="2" customWidth="1"/>
    <col min="12037" max="12038" width="11.5703125" style="2"/>
    <col min="12039" max="12039" width="11.7109375" style="2" bestFit="1" customWidth="1"/>
    <col min="12040" max="12040" width="12.28515625" style="2" customWidth="1"/>
    <col min="12041" max="12271" width="11.5703125" style="2"/>
    <col min="12272" max="12272" width="32.42578125" style="2" customWidth="1"/>
    <col min="12273" max="12273" width="13.28515625" style="2" customWidth="1"/>
    <col min="12274" max="12274" width="11.85546875" style="2" customWidth="1"/>
    <col min="12275" max="12275" width="13.140625" style="2" customWidth="1"/>
    <col min="12276" max="12276" width="14.42578125" style="2" customWidth="1"/>
    <col min="12277" max="12277" width="12.85546875" style="2" customWidth="1"/>
    <col min="12278" max="12283" width="12.28515625" style="2" bestFit="1" customWidth="1"/>
    <col min="12284" max="12291" width="13.85546875" style="2" bestFit="1" customWidth="1"/>
    <col min="12292" max="12292" width="16.28515625" style="2" customWidth="1"/>
    <col min="12293" max="12294" width="11.5703125" style="2"/>
    <col min="12295" max="12295" width="11.7109375" style="2" bestFit="1" customWidth="1"/>
    <col min="12296" max="12296" width="12.28515625" style="2" customWidth="1"/>
    <col min="12297" max="12527" width="11.5703125" style="2"/>
    <col min="12528" max="12528" width="32.42578125" style="2" customWidth="1"/>
    <col min="12529" max="12529" width="13.28515625" style="2" customWidth="1"/>
    <col min="12530" max="12530" width="11.85546875" style="2" customWidth="1"/>
    <col min="12531" max="12531" width="13.140625" style="2" customWidth="1"/>
    <col min="12532" max="12532" width="14.42578125" style="2" customWidth="1"/>
    <col min="12533" max="12533" width="12.85546875" style="2" customWidth="1"/>
    <col min="12534" max="12539" width="12.28515625" style="2" bestFit="1" customWidth="1"/>
    <col min="12540" max="12547" width="13.85546875" style="2" bestFit="1" customWidth="1"/>
    <col min="12548" max="12548" width="16.28515625" style="2" customWidth="1"/>
    <col min="12549" max="12550" width="11.5703125" style="2"/>
    <col min="12551" max="12551" width="11.7109375" style="2" bestFit="1" customWidth="1"/>
    <col min="12552" max="12552" width="12.28515625" style="2" customWidth="1"/>
    <col min="12553" max="12783" width="11.5703125" style="2"/>
    <col min="12784" max="12784" width="32.42578125" style="2" customWidth="1"/>
    <col min="12785" max="12785" width="13.28515625" style="2" customWidth="1"/>
    <col min="12786" max="12786" width="11.85546875" style="2" customWidth="1"/>
    <col min="12787" max="12787" width="13.140625" style="2" customWidth="1"/>
    <col min="12788" max="12788" width="14.42578125" style="2" customWidth="1"/>
    <col min="12789" max="12789" width="12.85546875" style="2" customWidth="1"/>
    <col min="12790" max="12795" width="12.28515625" style="2" bestFit="1" customWidth="1"/>
    <col min="12796" max="12803" width="13.85546875" style="2" bestFit="1" customWidth="1"/>
    <col min="12804" max="12804" width="16.28515625" style="2" customWidth="1"/>
    <col min="12805" max="12806" width="11.5703125" style="2"/>
    <col min="12807" max="12807" width="11.7109375" style="2" bestFit="1" customWidth="1"/>
    <col min="12808" max="12808" width="12.28515625" style="2" customWidth="1"/>
    <col min="12809" max="13039" width="11.5703125" style="2"/>
    <col min="13040" max="13040" width="32.42578125" style="2" customWidth="1"/>
    <col min="13041" max="13041" width="13.28515625" style="2" customWidth="1"/>
    <col min="13042" max="13042" width="11.85546875" style="2" customWidth="1"/>
    <col min="13043" max="13043" width="13.140625" style="2" customWidth="1"/>
    <col min="13044" max="13044" width="14.42578125" style="2" customWidth="1"/>
    <col min="13045" max="13045" width="12.85546875" style="2" customWidth="1"/>
    <col min="13046" max="13051" width="12.28515625" style="2" bestFit="1" customWidth="1"/>
    <col min="13052" max="13059" width="13.85546875" style="2" bestFit="1" customWidth="1"/>
    <col min="13060" max="13060" width="16.28515625" style="2" customWidth="1"/>
    <col min="13061" max="13062" width="11.5703125" style="2"/>
    <col min="13063" max="13063" width="11.7109375" style="2" bestFit="1" customWidth="1"/>
    <col min="13064" max="13064" width="12.28515625" style="2" customWidth="1"/>
    <col min="13065" max="13295" width="11.5703125" style="2"/>
    <col min="13296" max="13296" width="32.42578125" style="2" customWidth="1"/>
    <col min="13297" max="13297" width="13.28515625" style="2" customWidth="1"/>
    <col min="13298" max="13298" width="11.85546875" style="2" customWidth="1"/>
    <col min="13299" max="13299" width="13.140625" style="2" customWidth="1"/>
    <col min="13300" max="13300" width="14.42578125" style="2" customWidth="1"/>
    <col min="13301" max="13301" width="12.85546875" style="2" customWidth="1"/>
    <col min="13302" max="13307" width="12.28515625" style="2" bestFit="1" customWidth="1"/>
    <col min="13308" max="13315" width="13.85546875" style="2" bestFit="1" customWidth="1"/>
    <col min="13316" max="13316" width="16.28515625" style="2" customWidth="1"/>
    <col min="13317" max="13318" width="11.5703125" style="2"/>
    <col min="13319" max="13319" width="11.7109375" style="2" bestFit="1" customWidth="1"/>
    <col min="13320" max="13320" width="12.28515625" style="2" customWidth="1"/>
    <col min="13321" max="13551" width="11.5703125" style="2"/>
    <col min="13552" max="13552" width="32.42578125" style="2" customWidth="1"/>
    <col min="13553" max="13553" width="13.28515625" style="2" customWidth="1"/>
    <col min="13554" max="13554" width="11.85546875" style="2" customWidth="1"/>
    <col min="13555" max="13555" width="13.140625" style="2" customWidth="1"/>
    <col min="13556" max="13556" width="14.42578125" style="2" customWidth="1"/>
    <col min="13557" max="13557" width="12.85546875" style="2" customWidth="1"/>
    <col min="13558" max="13563" width="12.28515625" style="2" bestFit="1" customWidth="1"/>
    <col min="13564" max="13571" width="13.85546875" style="2" bestFit="1" customWidth="1"/>
    <col min="13572" max="13572" width="16.28515625" style="2" customWidth="1"/>
    <col min="13573" max="13574" width="11.5703125" style="2"/>
    <col min="13575" max="13575" width="11.7109375" style="2" bestFit="1" customWidth="1"/>
    <col min="13576" max="13576" width="12.28515625" style="2" customWidth="1"/>
    <col min="13577" max="13807" width="11.5703125" style="2"/>
    <col min="13808" max="13808" width="32.42578125" style="2" customWidth="1"/>
    <col min="13809" max="13809" width="13.28515625" style="2" customWidth="1"/>
    <col min="13810" max="13810" width="11.85546875" style="2" customWidth="1"/>
    <col min="13811" max="13811" width="13.140625" style="2" customWidth="1"/>
    <col min="13812" max="13812" width="14.42578125" style="2" customWidth="1"/>
    <col min="13813" max="13813" width="12.85546875" style="2" customWidth="1"/>
    <col min="13814" max="13819" width="12.28515625" style="2" bestFit="1" customWidth="1"/>
    <col min="13820" max="13827" width="13.85546875" style="2" bestFit="1" customWidth="1"/>
    <col min="13828" max="13828" width="16.28515625" style="2" customWidth="1"/>
    <col min="13829" max="13830" width="11.5703125" style="2"/>
    <col min="13831" max="13831" width="11.7109375" style="2" bestFit="1" customWidth="1"/>
    <col min="13832" max="13832" width="12.28515625" style="2" customWidth="1"/>
    <col min="13833" max="14063" width="11.5703125" style="2"/>
    <col min="14064" max="14064" width="32.42578125" style="2" customWidth="1"/>
    <col min="14065" max="14065" width="13.28515625" style="2" customWidth="1"/>
    <col min="14066" max="14066" width="11.85546875" style="2" customWidth="1"/>
    <col min="14067" max="14067" width="13.140625" style="2" customWidth="1"/>
    <col min="14068" max="14068" width="14.42578125" style="2" customWidth="1"/>
    <col min="14069" max="14069" width="12.85546875" style="2" customWidth="1"/>
    <col min="14070" max="14075" width="12.28515625" style="2" bestFit="1" customWidth="1"/>
    <col min="14076" max="14083" width="13.85546875" style="2" bestFit="1" customWidth="1"/>
    <col min="14084" max="14084" width="16.28515625" style="2" customWidth="1"/>
    <col min="14085" max="14086" width="11.5703125" style="2"/>
    <col min="14087" max="14087" width="11.7109375" style="2" bestFit="1" customWidth="1"/>
    <col min="14088" max="14088" width="12.28515625" style="2" customWidth="1"/>
    <col min="14089" max="14319" width="11.5703125" style="2"/>
    <col min="14320" max="14320" width="32.42578125" style="2" customWidth="1"/>
    <col min="14321" max="14321" width="13.28515625" style="2" customWidth="1"/>
    <col min="14322" max="14322" width="11.85546875" style="2" customWidth="1"/>
    <col min="14323" max="14323" width="13.140625" style="2" customWidth="1"/>
    <col min="14324" max="14324" width="14.42578125" style="2" customWidth="1"/>
    <col min="14325" max="14325" width="12.85546875" style="2" customWidth="1"/>
    <col min="14326" max="14331" width="12.28515625" style="2" bestFit="1" customWidth="1"/>
    <col min="14332" max="14339" width="13.85546875" style="2" bestFit="1" customWidth="1"/>
    <col min="14340" max="14340" width="16.28515625" style="2" customWidth="1"/>
    <col min="14341" max="14342" width="11.5703125" style="2"/>
    <col min="14343" max="14343" width="11.7109375" style="2" bestFit="1" customWidth="1"/>
    <col min="14344" max="14344" width="12.28515625" style="2" customWidth="1"/>
    <col min="14345" max="14575" width="11.5703125" style="2"/>
    <col min="14576" max="14576" width="32.42578125" style="2" customWidth="1"/>
    <col min="14577" max="14577" width="13.28515625" style="2" customWidth="1"/>
    <col min="14578" max="14578" width="11.85546875" style="2" customWidth="1"/>
    <col min="14579" max="14579" width="13.140625" style="2" customWidth="1"/>
    <col min="14580" max="14580" width="14.42578125" style="2" customWidth="1"/>
    <col min="14581" max="14581" width="12.85546875" style="2" customWidth="1"/>
    <col min="14582" max="14587" width="12.28515625" style="2" bestFit="1" customWidth="1"/>
    <col min="14588" max="14595" width="13.85546875" style="2" bestFit="1" customWidth="1"/>
    <col min="14596" max="14596" width="16.28515625" style="2" customWidth="1"/>
    <col min="14597" max="14598" width="11.5703125" style="2"/>
    <col min="14599" max="14599" width="11.7109375" style="2" bestFit="1" customWidth="1"/>
    <col min="14600" max="14600" width="12.28515625" style="2" customWidth="1"/>
    <col min="14601" max="14831" width="11.5703125" style="2"/>
    <col min="14832" max="14832" width="32.42578125" style="2" customWidth="1"/>
    <col min="14833" max="14833" width="13.28515625" style="2" customWidth="1"/>
    <col min="14834" max="14834" width="11.85546875" style="2" customWidth="1"/>
    <col min="14835" max="14835" width="13.140625" style="2" customWidth="1"/>
    <col min="14836" max="14836" width="14.42578125" style="2" customWidth="1"/>
    <col min="14837" max="14837" width="12.85546875" style="2" customWidth="1"/>
    <col min="14838" max="14843" width="12.28515625" style="2" bestFit="1" customWidth="1"/>
    <col min="14844" max="14851" width="13.85546875" style="2" bestFit="1" customWidth="1"/>
    <col min="14852" max="14852" width="16.28515625" style="2" customWidth="1"/>
    <col min="14853" max="14854" width="11.5703125" style="2"/>
    <col min="14855" max="14855" width="11.7109375" style="2" bestFit="1" customWidth="1"/>
    <col min="14856" max="14856" width="12.28515625" style="2" customWidth="1"/>
    <col min="14857" max="15087" width="11.5703125" style="2"/>
    <col min="15088" max="15088" width="32.42578125" style="2" customWidth="1"/>
    <col min="15089" max="15089" width="13.28515625" style="2" customWidth="1"/>
    <col min="15090" max="15090" width="11.85546875" style="2" customWidth="1"/>
    <col min="15091" max="15091" width="13.140625" style="2" customWidth="1"/>
    <col min="15092" max="15092" width="14.42578125" style="2" customWidth="1"/>
    <col min="15093" max="15093" width="12.85546875" style="2" customWidth="1"/>
    <col min="15094" max="15099" width="12.28515625" style="2" bestFit="1" customWidth="1"/>
    <col min="15100" max="15107" width="13.85546875" style="2" bestFit="1" customWidth="1"/>
    <col min="15108" max="15108" width="16.28515625" style="2" customWidth="1"/>
    <col min="15109" max="15110" width="11.5703125" style="2"/>
    <col min="15111" max="15111" width="11.7109375" style="2" bestFit="1" customWidth="1"/>
    <col min="15112" max="15112" width="12.28515625" style="2" customWidth="1"/>
    <col min="15113" max="15343" width="11.5703125" style="2"/>
    <col min="15344" max="15344" width="32.42578125" style="2" customWidth="1"/>
    <col min="15345" max="15345" width="13.28515625" style="2" customWidth="1"/>
    <col min="15346" max="15346" width="11.85546875" style="2" customWidth="1"/>
    <col min="15347" max="15347" width="13.140625" style="2" customWidth="1"/>
    <col min="15348" max="15348" width="14.42578125" style="2" customWidth="1"/>
    <col min="15349" max="15349" width="12.85546875" style="2" customWidth="1"/>
    <col min="15350" max="15355" width="12.28515625" style="2" bestFit="1" customWidth="1"/>
    <col min="15356" max="15363" width="13.85546875" style="2" bestFit="1" customWidth="1"/>
    <col min="15364" max="15364" width="16.28515625" style="2" customWidth="1"/>
    <col min="15365" max="15366" width="11.5703125" style="2"/>
    <col min="15367" max="15367" width="11.7109375" style="2" bestFit="1" customWidth="1"/>
    <col min="15368" max="15368" width="12.28515625" style="2" customWidth="1"/>
    <col min="15369" max="15599" width="11.5703125" style="2"/>
    <col min="15600" max="15600" width="32.42578125" style="2" customWidth="1"/>
    <col min="15601" max="15601" width="13.28515625" style="2" customWidth="1"/>
    <col min="15602" max="15602" width="11.85546875" style="2" customWidth="1"/>
    <col min="15603" max="15603" width="13.140625" style="2" customWidth="1"/>
    <col min="15604" max="15604" width="14.42578125" style="2" customWidth="1"/>
    <col min="15605" max="15605" width="12.85546875" style="2" customWidth="1"/>
    <col min="15606" max="15611" width="12.28515625" style="2" bestFit="1" customWidth="1"/>
    <col min="15612" max="15619" width="13.85546875" style="2" bestFit="1" customWidth="1"/>
    <col min="15620" max="15620" width="16.28515625" style="2" customWidth="1"/>
    <col min="15621" max="15622" width="11.5703125" style="2"/>
    <col min="15623" max="15623" width="11.7109375" style="2" bestFit="1" customWidth="1"/>
    <col min="15624" max="15624" width="12.28515625" style="2" customWidth="1"/>
    <col min="15625" max="15855" width="11.5703125" style="2"/>
    <col min="15856" max="15856" width="32.42578125" style="2" customWidth="1"/>
    <col min="15857" max="15857" width="13.28515625" style="2" customWidth="1"/>
    <col min="15858" max="15858" width="11.85546875" style="2" customWidth="1"/>
    <col min="15859" max="15859" width="13.140625" style="2" customWidth="1"/>
    <col min="15860" max="15860" width="14.42578125" style="2" customWidth="1"/>
    <col min="15861" max="15861" width="12.85546875" style="2" customWidth="1"/>
    <col min="15862" max="15867" width="12.28515625" style="2" bestFit="1" customWidth="1"/>
    <col min="15868" max="15875" width="13.85546875" style="2" bestFit="1" customWidth="1"/>
    <col min="15876" max="15876" width="16.28515625" style="2" customWidth="1"/>
    <col min="15877" max="15878" width="11.5703125" style="2"/>
    <col min="15879" max="15879" width="11.7109375" style="2" bestFit="1" customWidth="1"/>
    <col min="15880" max="15880" width="12.28515625" style="2" customWidth="1"/>
    <col min="15881" max="16111" width="11.5703125" style="2"/>
    <col min="16112" max="16112" width="32.42578125" style="2" customWidth="1"/>
    <col min="16113" max="16113" width="13.28515625" style="2" customWidth="1"/>
    <col min="16114" max="16114" width="11.85546875" style="2" customWidth="1"/>
    <col min="16115" max="16115" width="13.140625" style="2" customWidth="1"/>
    <col min="16116" max="16116" width="14.42578125" style="2" customWidth="1"/>
    <col min="16117" max="16117" width="12.85546875" style="2" customWidth="1"/>
    <col min="16118" max="16123" width="12.28515625" style="2" bestFit="1" customWidth="1"/>
    <col min="16124" max="16131" width="13.85546875" style="2" bestFit="1" customWidth="1"/>
    <col min="16132" max="16132" width="16.28515625" style="2" customWidth="1"/>
    <col min="16133" max="16134" width="11.5703125" style="2"/>
    <col min="16135" max="16135" width="11.7109375" style="2" bestFit="1" customWidth="1"/>
    <col min="16136" max="16136" width="12.28515625" style="2" customWidth="1"/>
    <col min="16137" max="16384" width="11.5703125" style="2"/>
  </cols>
  <sheetData>
    <row r="1" spans="1:143" x14ac:dyDescent="0.25">
      <c r="A1" s="3"/>
      <c r="B1" s="3"/>
      <c r="C1" s="3"/>
      <c r="D1" s="3"/>
      <c r="E1" s="34" t="s">
        <v>182</v>
      </c>
      <c r="F1" s="3"/>
      <c r="G1" s="3"/>
    </row>
    <row r="2" spans="1:143" ht="16.5" thickBot="1" x14ac:dyDescent="0.3">
      <c r="C2" s="3"/>
      <c r="D2" s="3"/>
      <c r="F2" s="3"/>
      <c r="G2" s="3"/>
    </row>
    <row r="3" spans="1:143" s="178" customFormat="1" ht="16.5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73" t="s">
        <v>190</v>
      </c>
      <c r="I3" s="173" t="s">
        <v>215</v>
      </c>
      <c r="J3" s="173" t="s">
        <v>216</v>
      </c>
      <c r="K3" s="173" t="s">
        <v>217</v>
      </c>
      <c r="L3" s="173" t="s">
        <v>218</v>
      </c>
      <c r="M3" s="173" t="s">
        <v>219</v>
      </c>
      <c r="N3" s="173" t="s">
        <v>220</v>
      </c>
      <c r="O3" s="173" t="s">
        <v>221</v>
      </c>
      <c r="P3" s="173" t="s">
        <v>224</v>
      </c>
      <c r="Q3" s="173" t="s">
        <v>225</v>
      </c>
      <c r="R3" s="173" t="s">
        <v>227</v>
      </c>
    </row>
    <row r="4" spans="1:143" s="178" customFormat="1" x14ac:dyDescent="0.25">
      <c r="A4" s="33"/>
      <c r="B4" s="33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</row>
    <row r="5" spans="1:143" x14ac:dyDescent="0.25">
      <c r="A5" s="141" t="s">
        <v>197</v>
      </c>
      <c r="B5" s="142" t="s">
        <v>5</v>
      </c>
    </row>
    <row r="6" spans="1:143" x14ac:dyDescent="0.25">
      <c r="A6" s="140" t="s">
        <v>198</v>
      </c>
      <c r="B6" s="121"/>
      <c r="D6" s="97">
        <v>0</v>
      </c>
      <c r="E6" s="97"/>
      <c r="F6" s="97"/>
      <c r="G6" s="97"/>
      <c r="H6" s="97">
        <v>54400</v>
      </c>
      <c r="I6" s="97">
        <v>0</v>
      </c>
      <c r="J6" s="97"/>
      <c r="K6" s="97"/>
      <c r="L6" s="97"/>
      <c r="M6" s="97">
        <v>54400</v>
      </c>
      <c r="N6" s="97">
        <v>0</v>
      </c>
      <c r="O6" s="97"/>
      <c r="P6" s="97"/>
      <c r="Q6" s="97"/>
      <c r="R6" s="97">
        <v>54400</v>
      </c>
    </row>
    <row r="7" spans="1:143" x14ac:dyDescent="0.25">
      <c r="A7" s="143" t="s">
        <v>196</v>
      </c>
      <c r="B7" s="141"/>
      <c r="D7" s="148">
        <f t="shared" ref="D7:H7" si="0">SUM(D6:D6)</f>
        <v>0</v>
      </c>
      <c r="E7" s="148">
        <f t="shared" si="0"/>
        <v>0</v>
      </c>
      <c r="F7" s="148">
        <f t="shared" si="0"/>
        <v>0</v>
      </c>
      <c r="G7" s="148">
        <f t="shared" si="0"/>
        <v>0</v>
      </c>
      <c r="H7" s="148">
        <f t="shared" si="0"/>
        <v>54400</v>
      </c>
      <c r="I7" s="148">
        <f t="shared" ref="I7:M7" si="1">SUM(I6:I6)</f>
        <v>0</v>
      </c>
      <c r="J7" s="148">
        <f t="shared" si="1"/>
        <v>0</v>
      </c>
      <c r="K7" s="148">
        <f t="shared" si="1"/>
        <v>0</v>
      </c>
      <c r="L7" s="148">
        <f t="shared" si="1"/>
        <v>0</v>
      </c>
      <c r="M7" s="148">
        <f t="shared" si="1"/>
        <v>54400</v>
      </c>
      <c r="N7" s="148">
        <f t="shared" ref="N7:R7" si="2">SUM(N6:N6)</f>
        <v>0</v>
      </c>
      <c r="O7" s="148">
        <f t="shared" si="2"/>
        <v>0</v>
      </c>
      <c r="P7" s="148">
        <f t="shared" si="2"/>
        <v>0</v>
      </c>
      <c r="Q7" s="148">
        <f t="shared" si="2"/>
        <v>0</v>
      </c>
      <c r="R7" s="148">
        <f t="shared" si="2"/>
        <v>54400</v>
      </c>
    </row>
    <row r="8" spans="1:143" x14ac:dyDescent="0.25">
      <c r="A8" s="3"/>
      <c r="B8" s="3"/>
      <c r="D8" s="3"/>
      <c r="E8" s="3"/>
      <c r="F8" s="3"/>
      <c r="G8" s="144"/>
      <c r="H8" s="144"/>
      <c r="I8" s="3"/>
      <c r="J8" s="3"/>
      <c r="K8" s="3"/>
      <c r="L8" s="144"/>
      <c r="M8" s="144"/>
      <c r="N8" s="3"/>
      <c r="O8" s="3"/>
      <c r="P8" s="3"/>
      <c r="Q8" s="144"/>
      <c r="R8" s="144"/>
    </row>
    <row r="9" spans="1:143" s="71" customFormat="1" x14ac:dyDescent="0.25">
      <c r="A9" s="33" t="s">
        <v>199</v>
      </c>
      <c r="B9" s="33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43" s="71" customFormat="1" x14ac:dyDescent="0.25">
      <c r="A10" s="167" t="s">
        <v>183</v>
      </c>
      <c r="B10" s="145">
        <v>10000</v>
      </c>
      <c r="D10" s="147">
        <v>10000</v>
      </c>
      <c r="E10" s="147"/>
      <c r="F10" s="147"/>
      <c r="G10" s="147"/>
      <c r="H10" s="147"/>
      <c r="I10" s="147">
        <v>10000</v>
      </c>
      <c r="J10" s="147"/>
      <c r="K10" s="147"/>
      <c r="L10" s="147"/>
      <c r="M10" s="147"/>
      <c r="N10" s="147">
        <v>10000</v>
      </c>
      <c r="O10" s="147"/>
      <c r="P10" s="147"/>
      <c r="Q10" s="147"/>
      <c r="R10" s="147"/>
    </row>
    <row r="11" spans="1:143" s="73" customFormat="1" x14ac:dyDescent="0.25">
      <c r="A11" s="35" t="s">
        <v>205</v>
      </c>
      <c r="B11" s="56"/>
      <c r="D11" s="105">
        <v>5195.2278000000006</v>
      </c>
      <c r="E11" s="105">
        <v>8502.4367000000002</v>
      </c>
      <c r="F11" s="105">
        <v>6971.2448000000004</v>
      </c>
      <c r="G11" s="105">
        <v>428.44</v>
      </c>
      <c r="H11" s="105">
        <v>0</v>
      </c>
      <c r="I11" s="105">
        <v>5195.2278000000006</v>
      </c>
      <c r="J11" s="105">
        <v>8502.4367000000002</v>
      </c>
      <c r="K11" s="105">
        <v>6971.2448000000004</v>
      </c>
      <c r="L11" s="105">
        <v>428.44</v>
      </c>
      <c r="M11" s="105">
        <v>0</v>
      </c>
      <c r="N11" s="105">
        <v>5195.2278000000006</v>
      </c>
      <c r="O11" s="105">
        <v>8502.4367000000002</v>
      </c>
      <c r="P11" s="105">
        <v>6971.2448000000004</v>
      </c>
      <c r="Q11" s="105">
        <v>428.44</v>
      </c>
      <c r="R11" s="105">
        <v>0</v>
      </c>
      <c r="EM11" s="137"/>
    </row>
    <row r="12" spans="1:143" s="73" customFormat="1" x14ac:dyDescent="0.25">
      <c r="A12" s="35" t="s">
        <v>136</v>
      </c>
      <c r="B12" s="56">
        <f>+'MANO DE OBRA'!C28</f>
        <v>6102</v>
      </c>
      <c r="D12" s="105">
        <v>2403</v>
      </c>
      <c r="E12" s="105">
        <v>4806</v>
      </c>
      <c r="F12" s="105">
        <v>1201.5</v>
      </c>
      <c r="G12" s="105">
        <v>0</v>
      </c>
      <c r="H12" s="105">
        <v>0</v>
      </c>
      <c r="I12" s="105">
        <v>2403</v>
      </c>
      <c r="J12" s="105">
        <v>4806</v>
      </c>
      <c r="K12" s="105">
        <v>1201.5</v>
      </c>
      <c r="L12" s="105">
        <v>0</v>
      </c>
      <c r="M12" s="105">
        <v>0</v>
      </c>
      <c r="N12" s="105">
        <v>2403</v>
      </c>
      <c r="O12" s="105">
        <v>4806</v>
      </c>
      <c r="P12" s="105">
        <v>1201.5</v>
      </c>
      <c r="Q12" s="105">
        <v>0</v>
      </c>
      <c r="R12" s="105">
        <v>0</v>
      </c>
      <c r="EM12" s="137"/>
    </row>
    <row r="13" spans="1:143" s="73" customFormat="1" x14ac:dyDescent="0.25">
      <c r="A13" s="35" t="s">
        <v>137</v>
      </c>
      <c r="B13" s="56">
        <f>+LOGISTICA!B30</f>
        <v>2327.1</v>
      </c>
      <c r="D13" s="105">
        <v>770.6</v>
      </c>
      <c r="E13" s="105">
        <v>1541.2</v>
      </c>
      <c r="F13" s="105">
        <v>385.3</v>
      </c>
      <c r="G13" s="105">
        <v>0</v>
      </c>
      <c r="H13" s="105">
        <v>0</v>
      </c>
      <c r="I13" s="105">
        <v>770.6</v>
      </c>
      <c r="J13" s="105">
        <v>1541.2</v>
      </c>
      <c r="K13" s="105">
        <v>385.3</v>
      </c>
      <c r="L13" s="105">
        <v>0</v>
      </c>
      <c r="M13" s="105">
        <v>0</v>
      </c>
      <c r="N13" s="105">
        <v>770.6</v>
      </c>
      <c r="O13" s="105">
        <v>1541.2</v>
      </c>
      <c r="P13" s="105">
        <v>385.3</v>
      </c>
      <c r="Q13" s="105">
        <v>0</v>
      </c>
      <c r="R13" s="105">
        <v>0</v>
      </c>
      <c r="EM13" s="137"/>
    </row>
    <row r="14" spans="1:143" s="67" customFormat="1" x14ac:dyDescent="0.25">
      <c r="A14" s="35" t="s">
        <v>200</v>
      </c>
      <c r="B14" s="56">
        <f>SUM(B11:B13)</f>
        <v>8429.1</v>
      </c>
      <c r="D14" s="171">
        <f t="shared" ref="D14:R14" si="3">SUM(D11:D13)</f>
        <v>8368.8278000000009</v>
      </c>
      <c r="E14" s="171">
        <f t="shared" si="3"/>
        <v>14849.636700000001</v>
      </c>
      <c r="F14" s="171">
        <f t="shared" si="3"/>
        <v>8558.0447999999997</v>
      </c>
      <c r="G14" s="171">
        <f t="shared" si="3"/>
        <v>428.44</v>
      </c>
      <c r="H14" s="171">
        <f t="shared" si="3"/>
        <v>0</v>
      </c>
      <c r="I14" s="171">
        <f t="shared" si="3"/>
        <v>8368.8278000000009</v>
      </c>
      <c r="J14" s="171">
        <f t="shared" si="3"/>
        <v>14849.636700000001</v>
      </c>
      <c r="K14" s="171">
        <f t="shared" si="3"/>
        <v>8558.0447999999997</v>
      </c>
      <c r="L14" s="171">
        <f t="shared" si="3"/>
        <v>428.44</v>
      </c>
      <c r="M14" s="171">
        <f t="shared" si="3"/>
        <v>0</v>
      </c>
      <c r="N14" s="171">
        <f t="shared" si="3"/>
        <v>8368.8278000000009</v>
      </c>
      <c r="O14" s="171">
        <f t="shared" si="3"/>
        <v>14849.636700000001</v>
      </c>
      <c r="P14" s="171">
        <f t="shared" si="3"/>
        <v>8558.0447999999997</v>
      </c>
      <c r="Q14" s="171">
        <f t="shared" si="3"/>
        <v>428.44</v>
      </c>
      <c r="R14" s="171">
        <f t="shared" si="3"/>
        <v>0</v>
      </c>
      <c r="EM14" s="137"/>
    </row>
    <row r="15" spans="1:143" s="67" customFormat="1" x14ac:dyDescent="0.25">
      <c r="A15" s="35" t="s">
        <v>201</v>
      </c>
      <c r="B15" s="105"/>
      <c r="C15" s="166">
        <v>0.1</v>
      </c>
      <c r="D15" s="105">
        <f>+$C$15*D11</f>
        <v>519.52278000000013</v>
      </c>
      <c r="E15" s="105">
        <f t="shared" ref="E15:F15" si="4">+$C$15*E11</f>
        <v>850.24367000000007</v>
      </c>
      <c r="F15" s="105">
        <f t="shared" si="4"/>
        <v>697.12448000000006</v>
      </c>
      <c r="G15" s="105">
        <f>+$C$15*G11</f>
        <v>42.844000000000001</v>
      </c>
      <c r="H15" s="105">
        <f>+$C$15*H11</f>
        <v>0</v>
      </c>
      <c r="I15" s="105">
        <f>+$C$15*I11</f>
        <v>519.52278000000013</v>
      </c>
      <c r="J15" s="105">
        <f t="shared" ref="J15:K15" si="5">+$C$15*J11</f>
        <v>850.24367000000007</v>
      </c>
      <c r="K15" s="105">
        <f t="shared" si="5"/>
        <v>697.12448000000006</v>
      </c>
      <c r="L15" s="105">
        <f>+$C$15*L11</f>
        <v>42.844000000000001</v>
      </c>
      <c r="M15" s="105">
        <f>+$C$15*M11</f>
        <v>0</v>
      </c>
      <c r="N15" s="105">
        <f>+$C$15*N11</f>
        <v>519.52278000000013</v>
      </c>
      <c r="O15" s="105">
        <f t="shared" ref="O15:P15" si="6">+$C$15*O11</f>
        <v>850.24367000000007</v>
      </c>
      <c r="P15" s="105">
        <f t="shared" si="6"/>
        <v>697.12448000000006</v>
      </c>
      <c r="Q15" s="105">
        <f>+$C$15*Q11</f>
        <v>42.844000000000001</v>
      </c>
      <c r="R15" s="105">
        <f>+$C$15*R11</f>
        <v>0</v>
      </c>
      <c r="EM15" s="137"/>
    </row>
    <row r="16" spans="1:143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622.1845406000001</v>
      </c>
      <c r="E16" s="105">
        <f t="shared" ref="E16:F16" si="7">(+E14+E15)*$C$16</f>
        <v>1098.9916259000001</v>
      </c>
      <c r="F16" s="105">
        <f t="shared" si="7"/>
        <v>647.86184960000003</v>
      </c>
      <c r="G16" s="105">
        <f>(+G14+G15)*0.07</f>
        <v>32.989879999999999</v>
      </c>
      <c r="H16" s="105">
        <f>(+H14+H15)*0.07</f>
        <v>0</v>
      </c>
      <c r="I16" s="105">
        <f>(+I14+I15)*$C$16</f>
        <v>622.1845406000001</v>
      </c>
      <c r="J16" s="105">
        <f t="shared" ref="J16:K16" si="8">(+J14+J15)*$C$16</f>
        <v>1098.9916259000001</v>
      </c>
      <c r="K16" s="105">
        <f t="shared" si="8"/>
        <v>647.86184960000003</v>
      </c>
      <c r="L16" s="105">
        <f>(+L14+L15)*0.07</f>
        <v>32.989879999999999</v>
      </c>
      <c r="M16" s="105">
        <f>(+M14+M15)*0.07</f>
        <v>0</v>
      </c>
      <c r="N16" s="105">
        <f>(+N14+N15)*$C$16</f>
        <v>622.1845406000001</v>
      </c>
      <c r="O16" s="105">
        <f t="shared" ref="O16:P16" si="9">(+O14+O15)*$C$16</f>
        <v>1098.9916259000001</v>
      </c>
      <c r="P16" s="105">
        <f t="shared" si="9"/>
        <v>647.86184960000003</v>
      </c>
      <c r="Q16" s="105">
        <f>(+Q14+Q15)*0.07</f>
        <v>32.989879999999999</v>
      </c>
      <c r="R16" s="105">
        <f>(+R14+R15)*0.07</f>
        <v>0</v>
      </c>
      <c r="EM16" s="137"/>
    </row>
    <row r="17" spans="1:143" s="67" customFormat="1" x14ac:dyDescent="0.25">
      <c r="A17" s="35" t="s">
        <v>89</v>
      </c>
      <c r="B17" s="105"/>
      <c r="C17" s="166">
        <v>0.12</v>
      </c>
      <c r="D17" s="105">
        <f>(+D14+D15)*$C$17</f>
        <v>1066.6020696</v>
      </c>
      <c r="E17" s="105">
        <f t="shared" ref="E17:H17" si="10">(+E14+E15)*$C$17</f>
        <v>1883.9856444</v>
      </c>
      <c r="F17" s="105">
        <f t="shared" si="10"/>
        <v>1110.6203135999999</v>
      </c>
      <c r="G17" s="105">
        <f t="shared" si="10"/>
        <v>56.554079999999999</v>
      </c>
      <c r="H17" s="105">
        <f t="shared" si="10"/>
        <v>0</v>
      </c>
      <c r="I17" s="105">
        <f>(+I14+I15)*$C$17</f>
        <v>1066.6020696</v>
      </c>
      <c r="J17" s="105">
        <f t="shared" ref="J17:M17" si="11">(+J14+J15)*$C$17</f>
        <v>1883.9856444</v>
      </c>
      <c r="K17" s="105">
        <f t="shared" si="11"/>
        <v>1110.6203135999999</v>
      </c>
      <c r="L17" s="105">
        <f t="shared" si="11"/>
        <v>56.554079999999999</v>
      </c>
      <c r="M17" s="105">
        <f t="shared" si="11"/>
        <v>0</v>
      </c>
      <c r="N17" s="105">
        <f>(+N14+N15)*$C$17</f>
        <v>1066.6020696</v>
      </c>
      <c r="O17" s="105">
        <f t="shared" ref="O17:R17" si="12">(+O14+O15)*$C$17</f>
        <v>1883.9856444</v>
      </c>
      <c r="P17" s="105">
        <f t="shared" si="12"/>
        <v>1110.6203135999999</v>
      </c>
      <c r="Q17" s="105">
        <f t="shared" si="12"/>
        <v>56.554079999999999</v>
      </c>
      <c r="R17" s="105">
        <f t="shared" si="12"/>
        <v>0</v>
      </c>
      <c r="EM17" s="137"/>
    </row>
    <row r="18" spans="1:143" s="67" customFormat="1" x14ac:dyDescent="0.25">
      <c r="A18" s="143" t="s">
        <v>181</v>
      </c>
      <c r="B18" s="141"/>
      <c r="D18" s="148">
        <f t="shared" ref="D18:H18" si="13">SUM(D14:D17)+D10</f>
        <v>20577.137190199999</v>
      </c>
      <c r="E18" s="148">
        <f t="shared" si="13"/>
        <v>18682.857640300001</v>
      </c>
      <c r="F18" s="148">
        <f t="shared" si="13"/>
        <v>11013.6514432</v>
      </c>
      <c r="G18" s="148">
        <f t="shared" si="13"/>
        <v>560.82795999999996</v>
      </c>
      <c r="H18" s="148">
        <f t="shared" si="13"/>
        <v>0</v>
      </c>
      <c r="I18" s="148">
        <f t="shared" ref="I18:M18" si="14">SUM(I14:I17)+I10</f>
        <v>20577.137190199999</v>
      </c>
      <c r="J18" s="148">
        <f t="shared" si="14"/>
        <v>18682.857640300001</v>
      </c>
      <c r="K18" s="148">
        <f t="shared" si="14"/>
        <v>11013.6514432</v>
      </c>
      <c r="L18" s="148">
        <f t="shared" si="14"/>
        <v>560.82795999999996</v>
      </c>
      <c r="M18" s="148">
        <f t="shared" si="14"/>
        <v>0</v>
      </c>
      <c r="N18" s="148">
        <f t="shared" ref="N18:R18" si="15">SUM(N14:N17)+N10</f>
        <v>20577.137190199999</v>
      </c>
      <c r="O18" s="148">
        <f t="shared" si="15"/>
        <v>18682.857640300001</v>
      </c>
      <c r="P18" s="148">
        <f t="shared" si="15"/>
        <v>11013.6514432</v>
      </c>
      <c r="Q18" s="148">
        <f t="shared" si="15"/>
        <v>560.82795999999996</v>
      </c>
      <c r="R18" s="148">
        <f t="shared" si="15"/>
        <v>0</v>
      </c>
      <c r="EM18" s="137"/>
    </row>
    <row r="19" spans="1:143" s="67" customFormat="1" x14ac:dyDescent="0.25">
      <c r="A19" s="143"/>
      <c r="B19" s="141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EM19" s="137"/>
    </row>
    <row r="20" spans="1:143" s="73" customFormat="1" x14ac:dyDescent="0.25">
      <c r="A20" s="140" t="s">
        <v>206</v>
      </c>
      <c r="B20" s="121"/>
      <c r="D20" s="130">
        <f t="shared" ref="D20:R20" si="16">+D7-D18</f>
        <v>-20577.137190199999</v>
      </c>
      <c r="E20" s="130">
        <f t="shared" si="16"/>
        <v>-18682.857640300001</v>
      </c>
      <c r="F20" s="130">
        <f t="shared" si="16"/>
        <v>-11013.6514432</v>
      </c>
      <c r="G20" s="130">
        <f t="shared" si="16"/>
        <v>-560.82795999999996</v>
      </c>
      <c r="H20" s="130">
        <f t="shared" si="16"/>
        <v>54400</v>
      </c>
      <c r="I20" s="130">
        <f t="shared" si="16"/>
        <v>-20577.137190199999</v>
      </c>
      <c r="J20" s="130">
        <f t="shared" si="16"/>
        <v>-18682.857640300001</v>
      </c>
      <c r="K20" s="130">
        <f t="shared" si="16"/>
        <v>-11013.6514432</v>
      </c>
      <c r="L20" s="130">
        <f t="shared" si="16"/>
        <v>-560.82795999999996</v>
      </c>
      <c r="M20" s="130">
        <f t="shared" si="16"/>
        <v>54400</v>
      </c>
      <c r="N20" s="130">
        <f t="shared" si="16"/>
        <v>-20577.137190199999</v>
      </c>
      <c r="O20" s="130">
        <f t="shared" si="16"/>
        <v>-18682.857640300001</v>
      </c>
      <c r="P20" s="130">
        <f t="shared" si="16"/>
        <v>-11013.6514432</v>
      </c>
      <c r="Q20" s="130">
        <f t="shared" si="16"/>
        <v>-560.82795999999996</v>
      </c>
      <c r="R20" s="130">
        <f t="shared" si="16"/>
        <v>54400</v>
      </c>
    </row>
    <row r="21" spans="1:143" s="73" customFormat="1" x14ac:dyDescent="0.25">
      <c r="A21" s="140" t="s">
        <v>210</v>
      </c>
      <c r="B21" s="121"/>
      <c r="D21" s="130">
        <v>0</v>
      </c>
      <c r="E21" s="130">
        <v>0</v>
      </c>
      <c r="F21" s="130">
        <v>0</v>
      </c>
      <c r="G21" s="130"/>
      <c r="H21" s="130">
        <v>1201.58</v>
      </c>
      <c r="I21" s="130">
        <v>0</v>
      </c>
      <c r="J21" s="130">
        <v>0</v>
      </c>
      <c r="K21" s="130">
        <v>0</v>
      </c>
      <c r="L21" s="130"/>
      <c r="M21" s="130">
        <v>1201.58</v>
      </c>
      <c r="N21" s="130">
        <v>0</v>
      </c>
      <c r="O21" s="130">
        <v>0</v>
      </c>
      <c r="P21" s="130">
        <v>0</v>
      </c>
      <c r="Q21" s="130"/>
      <c r="R21" s="130">
        <v>1201.58</v>
      </c>
    </row>
    <row r="22" spans="1:143" s="73" customFormat="1" x14ac:dyDescent="0.25">
      <c r="A22" s="185" t="s">
        <v>208</v>
      </c>
      <c r="B22" s="186"/>
      <c r="C22" s="182"/>
      <c r="D22" s="183">
        <f>+D20-D21</f>
        <v>-20577.137190199999</v>
      </c>
      <c r="E22" s="183">
        <f t="shared" ref="E22:H22" si="17">+E20-E21</f>
        <v>-18682.857640300001</v>
      </c>
      <c r="F22" s="183">
        <f t="shared" si="17"/>
        <v>-11013.6514432</v>
      </c>
      <c r="G22" s="183">
        <f t="shared" si="17"/>
        <v>-560.82795999999996</v>
      </c>
      <c r="H22" s="183">
        <f t="shared" si="17"/>
        <v>53198.42</v>
      </c>
      <c r="I22" s="183">
        <f>+I20-I21</f>
        <v>-20577.137190199999</v>
      </c>
      <c r="J22" s="183">
        <f t="shared" ref="J22:L22" si="18">+J20-J21</f>
        <v>-18682.857640300001</v>
      </c>
      <c r="K22" s="183">
        <f t="shared" si="18"/>
        <v>-11013.6514432</v>
      </c>
      <c r="L22" s="183">
        <f t="shared" si="18"/>
        <v>-560.82795999999996</v>
      </c>
      <c r="M22" s="183">
        <f t="shared" ref="M22" si="19">+M20-M21</f>
        <v>53198.42</v>
      </c>
      <c r="N22" s="183">
        <f>+N20-N21</f>
        <v>-20577.137190199999</v>
      </c>
      <c r="O22" s="183">
        <f t="shared" ref="O22:R22" si="20">+O20-O21</f>
        <v>-18682.857640300001</v>
      </c>
      <c r="P22" s="183">
        <f t="shared" si="20"/>
        <v>-11013.6514432</v>
      </c>
      <c r="Q22" s="183">
        <f t="shared" si="20"/>
        <v>-560.82795999999996</v>
      </c>
      <c r="R22" s="183">
        <f t="shared" si="20"/>
        <v>53198.42</v>
      </c>
    </row>
    <row r="23" spans="1:143" x14ac:dyDescent="0.25">
      <c r="A23" s="185" t="s">
        <v>207</v>
      </c>
      <c r="B23" s="186"/>
      <c r="C23" s="184">
        <v>-50834.47</v>
      </c>
      <c r="D23" s="183">
        <f>-D22</f>
        <v>20577.137190199999</v>
      </c>
      <c r="E23" s="183">
        <f t="shared" ref="E23:G23" si="21">-E22</f>
        <v>18682.857640300001</v>
      </c>
      <c r="F23" s="183">
        <f t="shared" si="21"/>
        <v>11013.6514432</v>
      </c>
      <c r="G23" s="183">
        <f t="shared" si="21"/>
        <v>560.82795999999996</v>
      </c>
      <c r="H23" s="183">
        <v>0</v>
      </c>
      <c r="I23" s="183">
        <f>-I22</f>
        <v>20577.137190199999</v>
      </c>
      <c r="J23" s="183">
        <f t="shared" ref="J23:L23" si="22">-J22</f>
        <v>18682.857640300001</v>
      </c>
      <c r="K23" s="183">
        <f t="shared" si="22"/>
        <v>11013.6514432</v>
      </c>
      <c r="L23" s="183">
        <f t="shared" si="22"/>
        <v>560.82795999999996</v>
      </c>
      <c r="M23" s="183">
        <v>0</v>
      </c>
      <c r="N23" s="183">
        <f>-N22</f>
        <v>20577.137190199999</v>
      </c>
      <c r="O23" s="183">
        <f t="shared" ref="O23:Q23" si="23">-O22</f>
        <v>18682.857640300001</v>
      </c>
      <c r="P23" s="183">
        <f t="shared" si="23"/>
        <v>11013.6514432</v>
      </c>
      <c r="Q23" s="183">
        <f t="shared" si="23"/>
        <v>560.82795999999996</v>
      </c>
      <c r="R23" s="183">
        <v>0</v>
      </c>
    </row>
    <row r="24" spans="1:143" ht="16.5" thickBot="1" x14ac:dyDescent="0.3">
      <c r="A24" s="150" t="s">
        <v>209</v>
      </c>
      <c r="B24" s="150"/>
      <c r="C24" s="151"/>
      <c r="D24" s="153">
        <f>+D22+D23</f>
        <v>0</v>
      </c>
      <c r="E24" s="153">
        <f t="shared" ref="E24:G24" si="24">+E22+E23</f>
        <v>0</v>
      </c>
      <c r="F24" s="153">
        <f t="shared" si="24"/>
        <v>0</v>
      </c>
      <c r="G24" s="153">
        <f t="shared" si="24"/>
        <v>0</v>
      </c>
      <c r="H24" s="153">
        <f>+H22+C23</f>
        <v>2363.9499999999971</v>
      </c>
      <c r="I24" s="153">
        <f>+I22+I23</f>
        <v>0</v>
      </c>
      <c r="J24" s="153">
        <f t="shared" ref="J24:L24" si="25">+J22+J23</f>
        <v>0</v>
      </c>
      <c r="K24" s="153">
        <f t="shared" si="25"/>
        <v>0</v>
      </c>
      <c r="L24" s="153">
        <f t="shared" si="25"/>
        <v>0</v>
      </c>
      <c r="M24" s="153">
        <f>+M22+C23</f>
        <v>2363.9499999999971</v>
      </c>
      <c r="N24" s="153">
        <f>+N22+N23</f>
        <v>0</v>
      </c>
      <c r="O24" s="153">
        <f t="shared" ref="O24:Q24" si="26">+O22+O23</f>
        <v>0</v>
      </c>
      <c r="P24" s="153">
        <f t="shared" si="26"/>
        <v>0</v>
      </c>
      <c r="Q24" s="153">
        <f t="shared" si="26"/>
        <v>0</v>
      </c>
      <c r="R24" s="153">
        <f>+R22+H23</f>
        <v>53198.42</v>
      </c>
    </row>
    <row r="25" spans="1:143" x14ac:dyDescent="0.25">
      <c r="A25" s="2" t="s">
        <v>195</v>
      </c>
      <c r="C25" s="121"/>
      <c r="D25" s="121"/>
      <c r="E25" s="36"/>
      <c r="F25" s="36"/>
      <c r="G25" s="36"/>
      <c r="I25" s="121"/>
      <c r="J25" s="36"/>
      <c r="K25" s="36"/>
      <c r="L25" s="36"/>
      <c r="N25" s="121"/>
      <c r="O25" s="36"/>
      <c r="P25" s="36"/>
      <c r="Q25" s="36"/>
    </row>
    <row r="26" spans="1:143" x14ac:dyDescent="0.25">
      <c r="A26" s="140"/>
      <c r="B26" s="140"/>
      <c r="C26" s="121"/>
      <c r="D26" s="121"/>
      <c r="E26" s="36"/>
      <c r="F26" s="36"/>
      <c r="G26" s="36"/>
      <c r="I26" s="121"/>
      <c r="J26" s="36"/>
      <c r="K26" s="36"/>
      <c r="L26" s="36"/>
      <c r="N26" s="121"/>
      <c r="O26" s="36"/>
      <c r="P26" s="36"/>
      <c r="Q26" s="36"/>
    </row>
    <row r="27" spans="1:143" x14ac:dyDescent="0.25">
      <c r="A27" s="140"/>
      <c r="B27" s="140"/>
      <c r="C27" s="121"/>
      <c r="D27" s="121"/>
      <c r="E27" s="36"/>
      <c r="F27" s="36"/>
      <c r="G27" s="36"/>
      <c r="I27" s="121"/>
      <c r="J27" s="36"/>
      <c r="K27" s="36"/>
      <c r="L27" s="36"/>
      <c r="N27" s="121"/>
      <c r="O27" s="36"/>
      <c r="P27" s="36"/>
      <c r="Q27" s="36"/>
    </row>
    <row r="28" spans="1:143" x14ac:dyDescent="0.25">
      <c r="A28" s="3"/>
      <c r="B28" s="3"/>
      <c r="C28" s="3"/>
      <c r="D28" s="3"/>
      <c r="E28" s="140"/>
      <c r="F28" s="3"/>
      <c r="G28" s="3"/>
      <c r="I28" s="3"/>
      <c r="J28" s="140" t="s">
        <v>203</v>
      </c>
      <c r="K28" s="3"/>
      <c r="L28" s="3"/>
      <c r="N28" s="3"/>
      <c r="O28" s="140" t="s">
        <v>203</v>
      </c>
      <c r="P28" s="3"/>
      <c r="Q28" s="3"/>
    </row>
    <row r="29" spans="1:143" ht="16.5" thickBot="1" x14ac:dyDescent="0.3">
      <c r="A29" s="150"/>
      <c r="B29" s="150"/>
      <c r="C29" s="151"/>
      <c r="D29" s="151"/>
      <c r="E29" s="152"/>
      <c r="F29" s="152"/>
      <c r="G29" s="152"/>
      <c r="H29" s="5"/>
      <c r="I29" s="151"/>
      <c r="J29" s="152"/>
      <c r="K29" s="152"/>
      <c r="L29" s="152"/>
      <c r="M29" s="5"/>
      <c r="N29" s="151"/>
      <c r="O29" s="152"/>
      <c r="P29" s="152"/>
      <c r="Q29" s="152"/>
      <c r="R29" s="5"/>
    </row>
    <row r="30" spans="1:143" s="15" customFormat="1" ht="16.5" thickBot="1" x14ac:dyDescent="0.3">
      <c r="A30" s="170"/>
      <c r="B30" s="170"/>
      <c r="C30" s="169" t="s">
        <v>202</v>
      </c>
      <c r="D30" s="180" t="s">
        <v>184</v>
      </c>
      <c r="E30" s="180" t="s">
        <v>185</v>
      </c>
      <c r="F30" s="180" t="s">
        <v>186</v>
      </c>
      <c r="G30" s="180" t="s">
        <v>187</v>
      </c>
      <c r="H30" s="180" t="s">
        <v>190</v>
      </c>
      <c r="I30" s="180" t="s">
        <v>184</v>
      </c>
      <c r="J30" s="180" t="s">
        <v>185</v>
      </c>
      <c r="K30" s="180" t="s">
        <v>186</v>
      </c>
      <c r="L30" s="180" t="s">
        <v>187</v>
      </c>
      <c r="M30" s="180" t="s">
        <v>190</v>
      </c>
      <c r="N30" s="180" t="s">
        <v>184</v>
      </c>
      <c r="O30" s="180" t="s">
        <v>185</v>
      </c>
      <c r="P30" s="180" t="s">
        <v>186</v>
      </c>
      <c r="Q30" s="180" t="s">
        <v>187</v>
      </c>
      <c r="R30" s="180" t="s">
        <v>190</v>
      </c>
    </row>
    <row r="31" spans="1:143" x14ac:dyDescent="0.25">
      <c r="A31" s="140" t="s">
        <v>204</v>
      </c>
      <c r="B31" s="140"/>
      <c r="C31" s="130">
        <f>+C23</f>
        <v>-50834.47</v>
      </c>
      <c r="D31" s="130">
        <v>0</v>
      </c>
      <c r="E31" s="97">
        <v>0</v>
      </c>
      <c r="F31" s="97">
        <v>0</v>
      </c>
      <c r="G31" s="97">
        <f>+G24</f>
        <v>0</v>
      </c>
      <c r="H31" s="97">
        <f t="shared" ref="H31" si="27">+H24</f>
        <v>2363.9499999999971</v>
      </c>
      <c r="I31" s="130">
        <v>0</v>
      </c>
      <c r="J31" s="97">
        <v>0</v>
      </c>
      <c r="K31" s="97">
        <v>0</v>
      </c>
      <c r="L31" s="97">
        <f>+L24</f>
        <v>0</v>
      </c>
      <c r="M31" s="97">
        <f t="shared" ref="M31" si="28">+M24</f>
        <v>2363.9499999999971</v>
      </c>
      <c r="N31" s="130">
        <v>0</v>
      </c>
      <c r="O31" s="97">
        <v>0</v>
      </c>
      <c r="P31" s="97">
        <v>0</v>
      </c>
      <c r="Q31" s="97">
        <f>+Q24</f>
        <v>0</v>
      </c>
      <c r="R31" s="97">
        <f t="shared" ref="R31" si="29">+R24</f>
        <v>53198.42</v>
      </c>
    </row>
    <row r="32" spans="1:143" x14ac:dyDescent="0.25">
      <c r="A32" s="3" t="s">
        <v>188</v>
      </c>
      <c r="B32" s="3"/>
      <c r="C32" s="47">
        <f>IRR(C31:R31)</f>
        <v>9.1322526494446166E-3</v>
      </c>
      <c r="D32" s="3"/>
      <c r="E32" s="3"/>
      <c r="F32" s="3"/>
      <c r="G32" s="36"/>
      <c r="H32" s="36"/>
      <c r="I32" s="3"/>
      <c r="J32" s="3"/>
      <c r="K32" s="3"/>
      <c r="L32" s="36"/>
      <c r="M32" s="36"/>
    </row>
    <row r="33" spans="1:18" x14ac:dyDescent="0.25">
      <c r="A33" s="3" t="s">
        <v>189</v>
      </c>
      <c r="B33" s="3"/>
      <c r="C33" s="47">
        <f>+C32*12</f>
        <v>0.1095870317933354</v>
      </c>
      <c r="D33" s="3"/>
      <c r="E33" s="3"/>
      <c r="F33" s="3"/>
      <c r="G33" s="121"/>
      <c r="H33" s="121"/>
      <c r="I33" s="3"/>
      <c r="J33" s="3"/>
      <c r="K33" s="3"/>
      <c r="L33" s="121"/>
      <c r="M33" s="121"/>
    </row>
    <row r="34" spans="1:18" x14ac:dyDescent="0.25">
      <c r="A34" s="3" t="s">
        <v>222</v>
      </c>
      <c r="B34" s="3"/>
      <c r="C34" s="188">
        <f>NPV(0.1/12,D31:R31)</f>
        <v>51415.321541134072</v>
      </c>
      <c r="D34" s="3"/>
      <c r="E34" s="3"/>
      <c r="F34" s="3"/>
      <c r="G34" s="121"/>
      <c r="H34" s="121"/>
      <c r="I34" s="3"/>
      <c r="J34" s="3"/>
      <c r="K34" s="3"/>
      <c r="L34" s="121"/>
      <c r="M34" s="121"/>
      <c r="N34" s="3"/>
      <c r="O34" s="3"/>
      <c r="P34" s="3"/>
      <c r="Q34" s="3"/>
      <c r="R34" s="3"/>
    </row>
    <row r="35" spans="1:18" ht="16.5" thickBot="1" x14ac:dyDescent="0.3">
      <c r="A35" s="5" t="s">
        <v>226</v>
      </c>
      <c r="B35" s="5"/>
      <c r="C35" s="154">
        <f>NPV(C33/12,D31:R31)+C31</f>
        <v>-1.0186340659856796E-10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2" t="s">
        <v>102</v>
      </c>
      <c r="C36" s="3"/>
      <c r="D36" s="3"/>
      <c r="E36" s="3"/>
      <c r="F36" s="3"/>
      <c r="G36" s="3"/>
      <c r="I36" s="104"/>
    </row>
    <row r="37" spans="1:18" x14ac:dyDescent="0.25">
      <c r="I37" s="104"/>
    </row>
    <row r="38" spans="1:18" x14ac:dyDescent="0.25">
      <c r="C38" s="138"/>
      <c r="I38" s="104"/>
    </row>
    <row r="46" spans="1:18" x14ac:dyDescent="0.25">
      <c r="I46" s="129"/>
    </row>
    <row r="59" spans="6:9" x14ac:dyDescent="0.25">
      <c r="F59" s="129"/>
    </row>
    <row r="60" spans="6:9" x14ac:dyDescent="0.25">
      <c r="F60" s="129"/>
    </row>
    <row r="61" spans="6:9" x14ac:dyDescent="0.25">
      <c r="F61" s="129"/>
    </row>
    <row r="62" spans="6:9" x14ac:dyDescent="0.25">
      <c r="F62" s="129"/>
    </row>
    <row r="63" spans="6:9" x14ac:dyDescent="0.25">
      <c r="F63" s="129"/>
    </row>
    <row r="64" spans="6:9" x14ac:dyDescent="0.25">
      <c r="I64" s="129"/>
    </row>
    <row r="65" spans="9:9" x14ac:dyDescent="0.25">
      <c r="I65" s="129"/>
    </row>
    <row r="66" spans="9:9" x14ac:dyDescent="0.25">
      <c r="I66" s="129"/>
    </row>
    <row r="67" spans="9:9" x14ac:dyDescent="0.25">
      <c r="I67" s="129"/>
    </row>
    <row r="68" spans="9:9" x14ac:dyDescent="0.25">
      <c r="I68" s="1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26" zoomScale="106" zoomScaleNormal="106" workbookViewId="0">
      <selection activeCell="F43" sqref="F43"/>
    </sheetView>
  </sheetViews>
  <sheetFormatPr baseColWidth="10" defaultColWidth="11.42578125" defaultRowHeight="15.75" x14ac:dyDescent="0.25"/>
  <cols>
    <col min="1" max="1" width="38.140625" style="2" customWidth="1"/>
    <col min="2" max="2" width="5.5703125" style="2" customWidth="1"/>
    <col min="3" max="4" width="13.140625" style="2" customWidth="1"/>
    <col min="5" max="5" width="11.5703125" style="2" bestFit="1" customWidth="1"/>
    <col min="6" max="6" width="25" style="2" bestFit="1" customWidth="1"/>
    <col min="7" max="8" width="12.140625" style="2" bestFit="1" customWidth="1"/>
    <col min="9" max="9" width="11.42578125" style="2"/>
    <col min="10" max="11" width="14.140625" style="2" bestFit="1" customWidth="1"/>
    <col min="12" max="16384" width="11.42578125" style="2"/>
  </cols>
  <sheetData>
    <row r="1" spans="1:4" ht="16.5" thickBot="1" x14ac:dyDescent="0.3">
      <c r="A1" s="218" t="s">
        <v>0</v>
      </c>
      <c r="B1" s="219"/>
      <c r="C1" s="219"/>
      <c r="D1" s="220"/>
    </row>
    <row r="2" spans="1:4" ht="16.5" thickBot="1" x14ac:dyDescent="0.3">
      <c r="A2" s="159"/>
      <c r="B2" s="159"/>
      <c r="C2" s="159"/>
      <c r="D2" s="159"/>
    </row>
    <row r="3" spans="1:4" ht="16.5" thickBot="1" x14ac:dyDescent="0.3">
      <c r="A3" s="13"/>
      <c r="B3" s="13"/>
      <c r="C3" s="88" t="s">
        <v>108</v>
      </c>
      <c r="D3" s="88" t="s">
        <v>109</v>
      </c>
    </row>
    <row r="4" spans="1:4" x14ac:dyDescent="0.25">
      <c r="A4" s="3" t="s">
        <v>145</v>
      </c>
      <c r="B4" s="3"/>
      <c r="C4" s="97">
        <f>+'DETALLE RUBROS CONSTRUCTIVOS'!G81</f>
        <v>19131.566800000004</v>
      </c>
      <c r="D4" s="97">
        <f>+'DETALLE RUBROS CONSTRUCTIVOS'!J81</f>
        <v>21097.3488</v>
      </c>
    </row>
    <row r="5" spans="1:4" x14ac:dyDescent="0.25">
      <c r="A5" s="3" t="s">
        <v>146</v>
      </c>
      <c r="B5" s="100">
        <v>0.1</v>
      </c>
      <c r="C5" s="97">
        <f>+C4*B5</f>
        <v>1913.1566800000005</v>
      </c>
      <c r="D5" s="97">
        <f>+D4*B5</f>
        <v>2109.73488</v>
      </c>
    </row>
    <row r="6" spans="1:4" x14ac:dyDescent="0.25">
      <c r="A6" s="3" t="s">
        <v>136</v>
      </c>
      <c r="B6" s="3"/>
      <c r="C6" s="97">
        <f>+'MANO DE OBRA'!C28</f>
        <v>6102</v>
      </c>
      <c r="D6" s="97">
        <f>+'MANO DE OBRA'!D28</f>
        <v>8410.5</v>
      </c>
    </row>
    <row r="7" spans="1:4" x14ac:dyDescent="0.25">
      <c r="A7" s="3" t="s">
        <v>137</v>
      </c>
      <c r="B7" s="3"/>
      <c r="C7" s="97">
        <f>+LOGISTICA!B30</f>
        <v>2327.1</v>
      </c>
      <c r="D7" s="97">
        <f>+LOGISTICA!C30</f>
        <v>2697.1</v>
      </c>
    </row>
    <row r="8" spans="1:4" x14ac:dyDescent="0.25">
      <c r="A8" s="102" t="s">
        <v>147</v>
      </c>
      <c r="B8" s="3"/>
      <c r="C8" s="148">
        <f>SUM(C4:C7)</f>
        <v>29473.823480000003</v>
      </c>
      <c r="D8" s="148">
        <f>SUM(D4:D7)</f>
        <v>34314.683680000002</v>
      </c>
    </row>
    <row r="9" spans="1:4" x14ac:dyDescent="0.25">
      <c r="A9" s="3" t="s">
        <v>148</v>
      </c>
      <c r="B9" s="100">
        <v>7.0000000000000007E-2</v>
      </c>
      <c r="C9" s="97">
        <f>+C8*B9</f>
        <v>2063.1676436000002</v>
      </c>
      <c r="D9" s="97">
        <f>+D8*B9</f>
        <v>2402.0278576000005</v>
      </c>
    </row>
    <row r="10" spans="1:4" x14ac:dyDescent="0.25">
      <c r="A10" s="3" t="s">
        <v>89</v>
      </c>
      <c r="B10" s="100">
        <v>0.12</v>
      </c>
      <c r="C10" s="97">
        <f>+C8*B10</f>
        <v>3536.8588176000003</v>
      </c>
      <c r="D10" s="97">
        <f>+D8*B10</f>
        <v>4117.7620416</v>
      </c>
    </row>
    <row r="11" spans="1:4" x14ac:dyDescent="0.25">
      <c r="A11" s="102" t="s">
        <v>193</v>
      </c>
      <c r="B11" s="155"/>
      <c r="C11" s="148">
        <f>SUM(C8:C10)</f>
        <v>35073.849941200002</v>
      </c>
      <c r="D11" s="148">
        <f>SUM(D8:D10)</f>
        <v>40834.473579199999</v>
      </c>
    </row>
    <row r="12" spans="1:4" x14ac:dyDescent="0.25">
      <c r="A12" s="2" t="s">
        <v>167</v>
      </c>
      <c r="C12" s="8">
        <v>10000</v>
      </c>
      <c r="D12" s="8">
        <v>10000</v>
      </c>
    </row>
    <row r="13" spans="1:4" ht="16.5" thickBot="1" x14ac:dyDescent="0.3">
      <c r="A13" s="19" t="s">
        <v>194</v>
      </c>
      <c r="B13" s="17"/>
      <c r="C13" s="112">
        <f>+C11+C12</f>
        <v>45073.849941200002</v>
      </c>
      <c r="D13" s="112">
        <f>+D11+D12</f>
        <v>50834.473579199999</v>
      </c>
    </row>
    <row r="14" spans="1:4" x14ac:dyDescent="0.25">
      <c r="A14" s="2" t="s">
        <v>195</v>
      </c>
    </row>
    <row r="15" spans="1:4" ht="16.5" thickBot="1" x14ac:dyDescent="0.3"/>
    <row r="16" spans="1:4" ht="16.5" thickBot="1" x14ac:dyDescent="0.3">
      <c r="A16" s="218" t="s">
        <v>169</v>
      </c>
      <c r="B16" s="219"/>
      <c r="C16" s="219"/>
      <c r="D16" s="220"/>
    </row>
    <row r="17" spans="1:10" ht="16.5" thickBot="1" x14ac:dyDescent="0.3">
      <c r="A17" s="13"/>
      <c r="B17" s="13"/>
      <c r="C17" s="88" t="s">
        <v>108</v>
      </c>
      <c r="D17" s="88" t="s">
        <v>109</v>
      </c>
    </row>
    <row r="18" spans="1:10" ht="16.5" thickBot="1" x14ac:dyDescent="0.3">
      <c r="A18" s="5" t="s">
        <v>168</v>
      </c>
      <c r="B18" s="5"/>
      <c r="C18" s="10">
        <v>54400</v>
      </c>
      <c r="D18" s="10">
        <v>54400</v>
      </c>
    </row>
    <row r="19" spans="1:10" x14ac:dyDescent="0.25">
      <c r="A19" s="2" t="s">
        <v>102</v>
      </c>
      <c r="C19" s="8"/>
      <c r="D19" s="8"/>
    </row>
    <row r="20" spans="1:10" ht="16.5" thickBot="1" x14ac:dyDescent="0.3">
      <c r="C20" s="8"/>
      <c r="D20" s="8"/>
    </row>
    <row r="21" spans="1:10" ht="16.5" thickBot="1" x14ac:dyDescent="0.3">
      <c r="A21" s="218" t="s">
        <v>170</v>
      </c>
      <c r="B21" s="219"/>
      <c r="C21" s="219"/>
      <c r="D21" s="220"/>
      <c r="I21" s="2">
        <v>360</v>
      </c>
    </row>
    <row r="22" spans="1:10" ht="16.5" thickBot="1" x14ac:dyDescent="0.3">
      <c r="C22" s="8"/>
      <c r="D22" s="8"/>
      <c r="I22" s="2">
        <v>1.21</v>
      </c>
      <c r="J22" s="2">
        <f>360/100</f>
        <v>3.6</v>
      </c>
    </row>
    <row r="23" spans="1:10" ht="16.5" thickBot="1" x14ac:dyDescent="0.3">
      <c r="A23" s="13"/>
      <c r="B23" s="159" t="s">
        <v>14</v>
      </c>
      <c r="C23" s="88" t="s">
        <v>108</v>
      </c>
      <c r="D23" s="88" t="s">
        <v>109</v>
      </c>
      <c r="I23" s="2">
        <f>+I21/I22</f>
        <v>297.52066115702479</v>
      </c>
      <c r="J23" s="2">
        <f>360/150</f>
        <v>2.4</v>
      </c>
    </row>
    <row r="24" spans="1:10" x14ac:dyDescent="0.25">
      <c r="A24" s="2" t="s">
        <v>170</v>
      </c>
      <c r="C24" s="133">
        <f>+C13</f>
        <v>45073.849941200002</v>
      </c>
      <c r="D24" s="133">
        <f>+D13</f>
        <v>50834.473579199999</v>
      </c>
      <c r="E24" s="101"/>
    </row>
    <row r="25" spans="1:10" ht="16.5" thickBot="1" x14ac:dyDescent="0.3">
      <c r="A25" s="5" t="s">
        <v>171</v>
      </c>
      <c r="B25" s="6">
        <v>80</v>
      </c>
      <c r="C25" s="94">
        <f>+C24/B25</f>
        <v>563.42312426500007</v>
      </c>
      <c r="D25" s="94">
        <f>+D24/B25</f>
        <v>635.43091974000004</v>
      </c>
    </row>
    <row r="26" spans="1:10" x14ac:dyDescent="0.25">
      <c r="A26" s="2" t="s">
        <v>195</v>
      </c>
      <c r="C26" s="8"/>
      <c r="D26" s="8"/>
    </row>
    <row r="27" spans="1:10" x14ac:dyDescent="0.25">
      <c r="C27" s="8"/>
      <c r="D27" s="8"/>
    </row>
    <row r="28" spans="1:10" ht="16.5" thickBot="1" x14ac:dyDescent="0.3">
      <c r="C28" s="8"/>
      <c r="D28" s="8"/>
    </row>
    <row r="29" spans="1:10" ht="16.5" thickBot="1" x14ac:dyDescent="0.3">
      <c r="A29" s="13"/>
      <c r="B29" s="103"/>
      <c r="C29" s="88" t="s">
        <v>108</v>
      </c>
      <c r="D29" s="88" t="s">
        <v>109</v>
      </c>
    </row>
    <row r="30" spans="1:10" x14ac:dyDescent="0.25">
      <c r="A30" s="2" t="s">
        <v>170</v>
      </c>
      <c r="C30" s="133">
        <f>+C19+C24</f>
        <v>45073.849941200002</v>
      </c>
      <c r="D30" s="133">
        <f>+D19+D24</f>
        <v>50834.473579199999</v>
      </c>
    </row>
    <row r="31" spans="1:10" x14ac:dyDescent="0.25">
      <c r="A31" s="2" t="s">
        <v>168</v>
      </c>
      <c r="C31" s="133">
        <v>54400</v>
      </c>
      <c r="D31" s="133">
        <v>54400</v>
      </c>
    </row>
    <row r="32" spans="1:10" x14ac:dyDescent="0.25">
      <c r="A32" s="2" t="s">
        <v>206</v>
      </c>
      <c r="C32" s="133">
        <f>+C31-C30</f>
        <v>9326.1500587999981</v>
      </c>
      <c r="D32" s="133">
        <f>+D31-D30</f>
        <v>3565.5264208000008</v>
      </c>
    </row>
    <row r="33" spans="1:4" x14ac:dyDescent="0.25">
      <c r="A33" s="2" t="s">
        <v>211</v>
      </c>
      <c r="C33" s="133">
        <f>+C32*0.15</f>
        <v>1398.9225088199996</v>
      </c>
      <c r="D33" s="133">
        <f>+D32*0.15</f>
        <v>534.82896312000014</v>
      </c>
    </row>
    <row r="34" spans="1:4" x14ac:dyDescent="0.25">
      <c r="A34" s="2" t="s">
        <v>212</v>
      </c>
      <c r="C34" s="133">
        <f>+(C32-C33)*0.22</f>
        <v>1743.9900609955996</v>
      </c>
      <c r="D34" s="133">
        <f>+(D32-D33)*0.22</f>
        <v>666.75344068960021</v>
      </c>
    </row>
    <row r="35" spans="1:4" x14ac:dyDescent="0.25">
      <c r="A35" s="2" t="s">
        <v>257</v>
      </c>
      <c r="C35" s="133">
        <f>+C33+C34</f>
        <v>3142.9125698155995</v>
      </c>
      <c r="D35" s="133">
        <f>+D33+D34</f>
        <v>1201.5824038096002</v>
      </c>
    </row>
    <row r="36" spans="1:4" x14ac:dyDescent="0.25">
      <c r="A36" s="2" t="s">
        <v>213</v>
      </c>
      <c r="C36" s="133">
        <f>+C32-C33-C34</f>
        <v>6183.2374889843986</v>
      </c>
      <c r="D36" s="133">
        <f>+D32-D33-D34</f>
        <v>2363.9440169904005</v>
      </c>
    </row>
    <row r="37" spans="1:4" x14ac:dyDescent="0.25">
      <c r="A37" s="3" t="s">
        <v>173</v>
      </c>
      <c r="C37" s="46">
        <f>+C36/C31</f>
        <v>0.11366245384162497</v>
      </c>
      <c r="D37" s="46">
        <f>+D36/D31</f>
        <v>4.3454853253500007E-2</v>
      </c>
    </row>
    <row r="38" spans="1:4" x14ac:dyDescent="0.25">
      <c r="A38" s="3" t="s">
        <v>172</v>
      </c>
      <c r="C38" s="46">
        <f>+C36/C30</f>
        <v>0.13718014984410232</v>
      </c>
      <c r="D38" s="46">
        <f>+D36/D30</f>
        <v>4.6502773620885063E-2</v>
      </c>
    </row>
    <row r="39" spans="1:4" ht="16.5" thickBot="1" x14ac:dyDescent="0.3">
      <c r="A39" s="134" t="s">
        <v>192</v>
      </c>
      <c r="B39" s="5"/>
      <c r="C39" s="135">
        <f>+C31/C30</f>
        <v>1.2069082199760215</v>
      </c>
      <c r="D39" s="135">
        <f>+D31/D30</f>
        <v>1.0701399300465837</v>
      </c>
    </row>
    <row r="40" spans="1:4" x14ac:dyDescent="0.25">
      <c r="A40" s="2" t="s">
        <v>195</v>
      </c>
      <c r="C40" s="8"/>
      <c r="D40" s="8"/>
    </row>
    <row r="41" spans="1:4" x14ac:dyDescent="0.25">
      <c r="C41" s="8"/>
      <c r="D41" s="8"/>
    </row>
    <row r="42" spans="1:4" x14ac:dyDescent="0.25">
      <c r="C42" s="8"/>
      <c r="D42" s="8"/>
    </row>
    <row r="43" spans="1:4" ht="16.5" thickBot="1" x14ac:dyDescent="0.3">
      <c r="A43" s="217" t="s">
        <v>176</v>
      </c>
      <c r="B43" s="217"/>
      <c r="C43" s="217"/>
      <c r="D43" s="217"/>
    </row>
    <row r="44" spans="1:4" ht="16.5" thickBot="1" x14ac:dyDescent="0.3">
      <c r="A44" s="13"/>
      <c r="B44" s="13"/>
      <c r="C44" s="103" t="s">
        <v>108</v>
      </c>
      <c r="D44" s="103" t="s">
        <v>109</v>
      </c>
    </row>
    <row r="45" spans="1:4" x14ac:dyDescent="0.25">
      <c r="A45" s="3" t="s">
        <v>191</v>
      </c>
      <c r="B45" s="3"/>
      <c r="C45" s="45">
        <v>16</v>
      </c>
      <c r="D45" s="45">
        <v>20</v>
      </c>
    </row>
    <row r="46" spans="1:4" x14ac:dyDescent="0.25">
      <c r="A46" s="2" t="s">
        <v>174</v>
      </c>
      <c r="B46" s="3"/>
      <c r="C46" s="45">
        <v>52</v>
      </c>
      <c r="D46" s="45">
        <v>52</v>
      </c>
    </row>
    <row r="47" spans="1:4" x14ac:dyDescent="0.25">
      <c r="A47" s="3" t="s">
        <v>175</v>
      </c>
      <c r="B47" s="3"/>
      <c r="C47" s="45">
        <f>+ROUND(+C46/C45,0)</f>
        <v>3</v>
      </c>
      <c r="D47" s="45">
        <f>+ROUND(+D46/D45,0)</f>
        <v>3</v>
      </c>
    </row>
    <row r="48" spans="1:4" x14ac:dyDescent="0.25">
      <c r="A48" s="3" t="s">
        <v>177</v>
      </c>
      <c r="B48" s="3"/>
      <c r="C48" s="86">
        <f>+C36</f>
        <v>6183.2374889843986</v>
      </c>
      <c r="D48" s="86">
        <f>+D36</f>
        <v>2363.9440169904005</v>
      </c>
    </row>
    <row r="49" spans="1:4" x14ac:dyDescent="0.25">
      <c r="A49" s="3" t="s">
        <v>178</v>
      </c>
      <c r="B49" s="3"/>
      <c r="C49" s="86">
        <f>+C48*C47</f>
        <v>18549.712466953195</v>
      </c>
      <c r="D49" s="86">
        <f>+D48*D47</f>
        <v>7091.8320509712012</v>
      </c>
    </row>
    <row r="50" spans="1:4" x14ac:dyDescent="0.25">
      <c r="A50" s="3" t="s">
        <v>179</v>
      </c>
      <c r="B50" s="3"/>
      <c r="C50" s="86">
        <v>45073.849941200002</v>
      </c>
      <c r="D50" s="86">
        <v>50834.473579199999</v>
      </c>
    </row>
    <row r="51" spans="1:4" ht="16.5" thickBot="1" x14ac:dyDescent="0.3">
      <c r="A51" s="5" t="s">
        <v>180</v>
      </c>
      <c r="B51" s="5"/>
      <c r="C51" s="136">
        <f>+C49/C50</f>
        <v>0.41154044953230695</v>
      </c>
      <c r="D51" s="136">
        <f>+D49/D50</f>
        <v>0.13950832086265519</v>
      </c>
    </row>
    <row r="52" spans="1:4" x14ac:dyDescent="0.25">
      <c r="A52" s="2" t="s">
        <v>102</v>
      </c>
    </row>
    <row r="53" spans="1:4" x14ac:dyDescent="0.25">
      <c r="C53" s="8"/>
      <c r="D53" s="8"/>
    </row>
  </sheetData>
  <mergeCells count="4">
    <mergeCell ref="A43:D43"/>
    <mergeCell ref="A1:D1"/>
    <mergeCell ref="A16:D16"/>
    <mergeCell ref="A21:D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B20" sqref="B20"/>
    </sheetView>
  </sheetViews>
  <sheetFormatPr baseColWidth="10" defaultColWidth="11.42578125" defaultRowHeight="15.75" x14ac:dyDescent="0.25"/>
  <cols>
    <col min="1" max="1" width="33.5703125" style="2" bestFit="1" customWidth="1"/>
    <col min="2" max="2" width="11.28515625" style="2" bestFit="1" customWidth="1"/>
    <col min="3" max="3" width="17" style="2" customWidth="1"/>
    <col min="4" max="16384" width="11.42578125" style="2"/>
  </cols>
  <sheetData>
    <row r="1" spans="1:10" x14ac:dyDescent="0.25">
      <c r="A1" s="15"/>
      <c r="F1" s="4"/>
      <c r="G1" s="4"/>
    </row>
    <row r="2" spans="1:10" x14ac:dyDescent="0.25">
      <c r="A2" s="205" t="s">
        <v>120</v>
      </c>
      <c r="B2" s="205"/>
      <c r="C2" s="205"/>
      <c r="F2" s="4"/>
      <c r="G2" s="4"/>
    </row>
    <row r="3" spans="1:10" ht="16.5" thickBot="1" x14ac:dyDescent="0.3">
      <c r="A3" s="5"/>
      <c r="B3" s="6"/>
      <c r="C3" s="6"/>
      <c r="F3" s="4"/>
      <c r="G3" s="4"/>
    </row>
    <row r="4" spans="1:10" ht="16.5" thickBot="1" x14ac:dyDescent="0.3">
      <c r="A4" s="17"/>
      <c r="B4" s="6" t="s">
        <v>108</v>
      </c>
      <c r="C4" s="6" t="s">
        <v>109</v>
      </c>
      <c r="D4" s="205"/>
      <c r="E4" s="205"/>
      <c r="F4" s="4"/>
      <c r="G4" s="4"/>
    </row>
    <row r="5" spans="1:10" x14ac:dyDescent="0.25">
      <c r="A5" s="2" t="s">
        <v>149</v>
      </c>
      <c r="B5" s="2">
        <v>2</v>
      </c>
      <c r="C5" s="2">
        <v>2</v>
      </c>
      <c r="F5" s="4"/>
      <c r="G5" s="4"/>
    </row>
    <row r="6" spans="1:10" x14ac:dyDescent="0.25">
      <c r="A6" s="2" t="s">
        <v>150</v>
      </c>
      <c r="B6" s="2">
        <v>0</v>
      </c>
      <c r="C6" s="2">
        <v>2</v>
      </c>
      <c r="F6" s="4"/>
      <c r="G6" s="4"/>
    </row>
    <row r="7" spans="1:10" x14ac:dyDescent="0.25">
      <c r="A7" s="2" t="s">
        <v>151</v>
      </c>
      <c r="B7" s="2">
        <v>2</v>
      </c>
      <c r="C7" s="2">
        <v>2</v>
      </c>
      <c r="F7" s="4"/>
      <c r="G7" s="4"/>
    </row>
    <row r="8" spans="1:10" x14ac:dyDescent="0.25">
      <c r="A8" s="2" t="s">
        <v>152</v>
      </c>
      <c r="B8" s="2">
        <v>2</v>
      </c>
      <c r="C8" s="2">
        <v>4</v>
      </c>
      <c r="F8" s="4"/>
      <c r="G8" s="4"/>
    </row>
    <row r="9" spans="1:10" x14ac:dyDescent="0.25">
      <c r="A9" s="2" t="s">
        <v>153</v>
      </c>
      <c r="B9" s="18">
        <v>1</v>
      </c>
      <c r="C9" s="18">
        <v>2</v>
      </c>
      <c r="F9" s="4"/>
      <c r="G9" s="4"/>
    </row>
    <row r="10" spans="1:10" ht="16.5" thickBot="1" x14ac:dyDescent="0.3">
      <c r="A10" s="19" t="s">
        <v>154</v>
      </c>
      <c r="B10" s="5">
        <f>SUM(B5:B9)</f>
        <v>7</v>
      </c>
      <c r="C10" s="5">
        <f>SUM(C5:C9)</f>
        <v>12</v>
      </c>
      <c r="F10" s="4"/>
      <c r="G10" s="4"/>
    </row>
    <row r="11" spans="1:10" x14ac:dyDescent="0.25">
      <c r="A11" s="2" t="s">
        <v>102</v>
      </c>
      <c r="B11" s="15"/>
      <c r="C11" s="15"/>
      <c r="D11" s="15"/>
      <c r="E11" s="15"/>
      <c r="F11" s="20"/>
      <c r="G11" s="20"/>
      <c r="I11" s="12"/>
      <c r="J11" s="21"/>
    </row>
    <row r="12" spans="1:10" x14ac:dyDescent="0.25">
      <c r="F12" s="4"/>
      <c r="G12" s="4"/>
    </row>
    <row r="13" spans="1:10" x14ac:dyDescent="0.25">
      <c r="A13" s="205" t="s">
        <v>119</v>
      </c>
      <c r="B13" s="205"/>
      <c r="C13" s="205"/>
      <c r="F13" s="4"/>
      <c r="G13" s="4"/>
    </row>
    <row r="14" spans="1:10" ht="16.5" thickBot="1" x14ac:dyDescent="0.3">
      <c r="A14" s="5"/>
      <c r="B14" s="5"/>
      <c r="C14" s="5"/>
      <c r="F14" s="4"/>
      <c r="G14" s="4"/>
    </row>
    <row r="15" spans="1:10" ht="16.5" thickBot="1" x14ac:dyDescent="0.3">
      <c r="A15" s="22"/>
      <c r="B15" s="206" t="s">
        <v>122</v>
      </c>
      <c r="C15" s="206"/>
    </row>
    <row r="16" spans="1:10" x14ac:dyDescent="0.25">
      <c r="A16" s="3" t="s">
        <v>155</v>
      </c>
      <c r="B16" s="3"/>
      <c r="C16" s="24">
        <v>150</v>
      </c>
    </row>
    <row r="17" spans="1:3" x14ac:dyDescent="0.25">
      <c r="A17" s="3" t="s">
        <v>156</v>
      </c>
      <c r="B17" s="3"/>
      <c r="C17" s="24">
        <v>90</v>
      </c>
    </row>
    <row r="18" spans="1:3" x14ac:dyDescent="0.25">
      <c r="A18" s="3" t="s">
        <v>157</v>
      </c>
      <c r="B18" s="3"/>
      <c r="C18" s="24">
        <v>110</v>
      </c>
    </row>
    <row r="19" spans="1:3" ht="16.5" thickBot="1" x14ac:dyDescent="0.3">
      <c r="A19" s="5" t="s">
        <v>123</v>
      </c>
      <c r="B19" s="5"/>
      <c r="C19" s="10">
        <v>858.55</v>
      </c>
    </row>
    <row r="20" spans="1:3" x14ac:dyDescent="0.25">
      <c r="A20" s="2" t="s">
        <v>102</v>
      </c>
      <c r="B20" s="15"/>
      <c r="C20" s="15"/>
    </row>
    <row r="22" spans="1:3" x14ac:dyDescent="0.25">
      <c r="A22" s="205" t="s">
        <v>121</v>
      </c>
      <c r="B22" s="205"/>
      <c r="C22" s="205"/>
    </row>
    <row r="23" spans="1:3" ht="16.5" thickBot="1" x14ac:dyDescent="0.3">
      <c r="A23" s="25"/>
      <c r="B23" s="25"/>
      <c r="C23" s="25"/>
    </row>
    <row r="24" spans="1:3" ht="16.5" thickBot="1" x14ac:dyDescent="0.3">
      <c r="A24" s="17"/>
      <c r="B24" s="6" t="s">
        <v>108</v>
      </c>
      <c r="C24" s="6" t="s">
        <v>109</v>
      </c>
    </row>
    <row r="25" spans="1:3" x14ac:dyDescent="0.25">
      <c r="A25" s="2" t="s">
        <v>149</v>
      </c>
      <c r="B25" s="26">
        <f>+B5*C16</f>
        <v>300</v>
      </c>
      <c r="C25" s="26">
        <f>+C5*C17</f>
        <v>180</v>
      </c>
    </row>
    <row r="26" spans="1:3" x14ac:dyDescent="0.25">
      <c r="A26" s="2" t="s">
        <v>150</v>
      </c>
      <c r="B26" s="26">
        <f>+B6*C19</f>
        <v>0</v>
      </c>
      <c r="C26" s="26">
        <f>+C6*C17</f>
        <v>180</v>
      </c>
    </row>
    <row r="27" spans="1:3" x14ac:dyDescent="0.25">
      <c r="A27" s="2" t="s">
        <v>151</v>
      </c>
      <c r="B27" s="26">
        <f>+B7*C19</f>
        <v>1717.1</v>
      </c>
      <c r="C27" s="26">
        <f>+C7*C19</f>
        <v>1717.1</v>
      </c>
    </row>
    <row r="28" spans="1:3" x14ac:dyDescent="0.25">
      <c r="A28" s="2" t="s">
        <v>152</v>
      </c>
      <c r="B28" s="26">
        <f>+B8*C18</f>
        <v>220</v>
      </c>
      <c r="C28" s="26">
        <f>+C8*C18</f>
        <v>440</v>
      </c>
    </row>
    <row r="29" spans="1:3" x14ac:dyDescent="0.25">
      <c r="A29" s="2" t="s">
        <v>153</v>
      </c>
      <c r="B29" s="27">
        <f>+B9*C17</f>
        <v>90</v>
      </c>
      <c r="C29" s="27">
        <f>+C9*C17</f>
        <v>180</v>
      </c>
    </row>
    <row r="30" spans="1:3" ht="16.5" thickBot="1" x14ac:dyDescent="0.3">
      <c r="A30" s="19" t="s">
        <v>23</v>
      </c>
      <c r="B30" s="28">
        <f>SUM(B25:B29)</f>
        <v>2327.1</v>
      </c>
      <c r="C30" s="28">
        <f>SUM(C25:C29)</f>
        <v>2697.1</v>
      </c>
    </row>
    <row r="31" spans="1:3" x14ac:dyDescent="0.25">
      <c r="A31" s="2" t="s">
        <v>102</v>
      </c>
      <c r="B31" s="15"/>
      <c r="C31" s="15"/>
    </row>
  </sheetData>
  <mergeCells count="5">
    <mergeCell ref="D4:E4"/>
    <mergeCell ref="A2:C2"/>
    <mergeCell ref="A13:C13"/>
    <mergeCell ref="A22:C22"/>
    <mergeCell ref="B15:C1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zoomScaleNormal="100" workbookViewId="0">
      <pane xSplit="5" ySplit="5" topLeftCell="G6" activePane="bottomRight" state="frozen"/>
      <selection pane="topRight" activeCell="F1" sqref="F1"/>
      <selection pane="bottomLeft" activeCell="A17" sqref="A17"/>
      <selection pane="bottomRight" activeCell="G87" sqref="G87"/>
    </sheetView>
  </sheetViews>
  <sheetFormatPr baseColWidth="10" defaultRowHeight="15.75" outlineLevelRow="1" x14ac:dyDescent="0.25"/>
  <cols>
    <col min="1" max="1" width="5.7109375" style="45" customWidth="1"/>
    <col min="2" max="2" width="57" style="3" bestFit="1" customWidth="1"/>
    <col min="3" max="3" width="12.5703125" style="3" hidden="1" customWidth="1"/>
    <col min="4" max="4" width="10.28515625" style="45" hidden="1" customWidth="1"/>
    <col min="5" max="5" width="11" style="3" hidden="1" customWidth="1"/>
    <col min="6" max="6" width="15.5703125" style="3" hidden="1" customWidth="1"/>
    <col min="7" max="7" width="13.5703125" style="3" customWidth="1"/>
    <col min="8" max="8" width="14.28515625" style="3" hidden="1" customWidth="1"/>
    <col min="9" max="9" width="1.28515625" style="3" customWidth="1"/>
    <col min="10" max="10" width="16.7109375" style="3" customWidth="1"/>
    <col min="11" max="11" width="12.42578125" style="3" hidden="1" customWidth="1"/>
    <col min="12" max="12" width="15.5703125" style="3" customWidth="1"/>
    <col min="13" max="13" width="12.42578125" style="3" customWidth="1"/>
    <col min="14" max="14" width="17" style="3" customWidth="1"/>
    <col min="15" max="15" width="15" style="3" customWidth="1"/>
    <col min="16" max="256" width="11.42578125" style="3"/>
    <col min="257" max="257" width="5.7109375" style="3" customWidth="1"/>
    <col min="258" max="258" width="40.42578125" style="3" customWidth="1"/>
    <col min="259" max="259" width="7.140625" style="3" customWidth="1"/>
    <col min="260" max="260" width="11" style="3" customWidth="1"/>
    <col min="261" max="261" width="10.28515625" style="3" customWidth="1"/>
    <col min="262" max="262" width="20.5703125" style="3" customWidth="1"/>
    <col min="263" max="263" width="20.85546875" style="3" customWidth="1"/>
    <col min="264" max="264" width="14.28515625" style="3" bestFit="1" customWidth="1"/>
    <col min="265" max="265" width="16.7109375" style="3" customWidth="1"/>
    <col min="266" max="266" width="17.28515625" style="3" customWidth="1"/>
    <col min="267" max="267" width="12.42578125" style="3" customWidth="1"/>
    <col min="268" max="268" width="12" style="3" customWidth="1"/>
    <col min="269" max="269" width="12.42578125" style="3" customWidth="1"/>
    <col min="270" max="270" width="17" style="3" customWidth="1"/>
    <col min="271" max="271" width="15" style="3" customWidth="1"/>
    <col min="272" max="512" width="11.42578125" style="3"/>
    <col min="513" max="513" width="5.7109375" style="3" customWidth="1"/>
    <col min="514" max="514" width="40.42578125" style="3" customWidth="1"/>
    <col min="515" max="515" width="7.140625" style="3" customWidth="1"/>
    <col min="516" max="516" width="11" style="3" customWidth="1"/>
    <col min="517" max="517" width="10.28515625" style="3" customWidth="1"/>
    <col min="518" max="518" width="20.5703125" style="3" customWidth="1"/>
    <col min="519" max="519" width="20.85546875" style="3" customWidth="1"/>
    <col min="520" max="520" width="14.28515625" style="3" bestFit="1" customWidth="1"/>
    <col min="521" max="521" width="16.7109375" style="3" customWidth="1"/>
    <col min="522" max="522" width="17.28515625" style="3" customWidth="1"/>
    <col min="523" max="523" width="12.42578125" style="3" customWidth="1"/>
    <col min="524" max="524" width="12" style="3" customWidth="1"/>
    <col min="525" max="525" width="12.42578125" style="3" customWidth="1"/>
    <col min="526" max="526" width="17" style="3" customWidth="1"/>
    <col min="527" max="527" width="15" style="3" customWidth="1"/>
    <col min="528" max="768" width="11.42578125" style="3"/>
    <col min="769" max="769" width="5.7109375" style="3" customWidth="1"/>
    <col min="770" max="770" width="40.42578125" style="3" customWidth="1"/>
    <col min="771" max="771" width="7.140625" style="3" customWidth="1"/>
    <col min="772" max="772" width="11" style="3" customWidth="1"/>
    <col min="773" max="773" width="10.28515625" style="3" customWidth="1"/>
    <col min="774" max="774" width="20.5703125" style="3" customWidth="1"/>
    <col min="775" max="775" width="20.85546875" style="3" customWidth="1"/>
    <col min="776" max="776" width="14.28515625" style="3" bestFit="1" customWidth="1"/>
    <col min="777" max="777" width="16.7109375" style="3" customWidth="1"/>
    <col min="778" max="778" width="17.28515625" style="3" customWidth="1"/>
    <col min="779" max="779" width="12.42578125" style="3" customWidth="1"/>
    <col min="780" max="780" width="12" style="3" customWidth="1"/>
    <col min="781" max="781" width="12.42578125" style="3" customWidth="1"/>
    <col min="782" max="782" width="17" style="3" customWidth="1"/>
    <col min="783" max="783" width="15" style="3" customWidth="1"/>
    <col min="784" max="1024" width="11.42578125" style="3"/>
    <col min="1025" max="1025" width="5.7109375" style="3" customWidth="1"/>
    <col min="1026" max="1026" width="40.42578125" style="3" customWidth="1"/>
    <col min="1027" max="1027" width="7.140625" style="3" customWidth="1"/>
    <col min="1028" max="1028" width="11" style="3" customWidth="1"/>
    <col min="1029" max="1029" width="10.28515625" style="3" customWidth="1"/>
    <col min="1030" max="1030" width="20.5703125" style="3" customWidth="1"/>
    <col min="1031" max="1031" width="20.85546875" style="3" customWidth="1"/>
    <col min="1032" max="1032" width="14.28515625" style="3" bestFit="1" customWidth="1"/>
    <col min="1033" max="1033" width="16.7109375" style="3" customWidth="1"/>
    <col min="1034" max="1034" width="17.28515625" style="3" customWidth="1"/>
    <col min="1035" max="1035" width="12.42578125" style="3" customWidth="1"/>
    <col min="1036" max="1036" width="12" style="3" customWidth="1"/>
    <col min="1037" max="1037" width="12.42578125" style="3" customWidth="1"/>
    <col min="1038" max="1038" width="17" style="3" customWidth="1"/>
    <col min="1039" max="1039" width="15" style="3" customWidth="1"/>
    <col min="1040" max="1280" width="11.42578125" style="3"/>
    <col min="1281" max="1281" width="5.7109375" style="3" customWidth="1"/>
    <col min="1282" max="1282" width="40.42578125" style="3" customWidth="1"/>
    <col min="1283" max="1283" width="7.140625" style="3" customWidth="1"/>
    <col min="1284" max="1284" width="11" style="3" customWidth="1"/>
    <col min="1285" max="1285" width="10.28515625" style="3" customWidth="1"/>
    <col min="1286" max="1286" width="20.5703125" style="3" customWidth="1"/>
    <col min="1287" max="1287" width="20.85546875" style="3" customWidth="1"/>
    <col min="1288" max="1288" width="14.28515625" style="3" bestFit="1" customWidth="1"/>
    <col min="1289" max="1289" width="16.7109375" style="3" customWidth="1"/>
    <col min="1290" max="1290" width="17.28515625" style="3" customWidth="1"/>
    <col min="1291" max="1291" width="12.42578125" style="3" customWidth="1"/>
    <col min="1292" max="1292" width="12" style="3" customWidth="1"/>
    <col min="1293" max="1293" width="12.42578125" style="3" customWidth="1"/>
    <col min="1294" max="1294" width="17" style="3" customWidth="1"/>
    <col min="1295" max="1295" width="15" style="3" customWidth="1"/>
    <col min="1296" max="1536" width="11.42578125" style="3"/>
    <col min="1537" max="1537" width="5.7109375" style="3" customWidth="1"/>
    <col min="1538" max="1538" width="40.42578125" style="3" customWidth="1"/>
    <col min="1539" max="1539" width="7.140625" style="3" customWidth="1"/>
    <col min="1540" max="1540" width="11" style="3" customWidth="1"/>
    <col min="1541" max="1541" width="10.28515625" style="3" customWidth="1"/>
    <col min="1542" max="1542" width="20.5703125" style="3" customWidth="1"/>
    <col min="1543" max="1543" width="20.85546875" style="3" customWidth="1"/>
    <col min="1544" max="1544" width="14.28515625" style="3" bestFit="1" customWidth="1"/>
    <col min="1545" max="1545" width="16.7109375" style="3" customWidth="1"/>
    <col min="1546" max="1546" width="17.28515625" style="3" customWidth="1"/>
    <col min="1547" max="1547" width="12.42578125" style="3" customWidth="1"/>
    <col min="1548" max="1548" width="12" style="3" customWidth="1"/>
    <col min="1549" max="1549" width="12.42578125" style="3" customWidth="1"/>
    <col min="1550" max="1550" width="17" style="3" customWidth="1"/>
    <col min="1551" max="1551" width="15" style="3" customWidth="1"/>
    <col min="1552" max="1792" width="11.42578125" style="3"/>
    <col min="1793" max="1793" width="5.7109375" style="3" customWidth="1"/>
    <col min="1794" max="1794" width="40.42578125" style="3" customWidth="1"/>
    <col min="1795" max="1795" width="7.140625" style="3" customWidth="1"/>
    <col min="1796" max="1796" width="11" style="3" customWidth="1"/>
    <col min="1797" max="1797" width="10.28515625" style="3" customWidth="1"/>
    <col min="1798" max="1798" width="20.5703125" style="3" customWidth="1"/>
    <col min="1799" max="1799" width="20.85546875" style="3" customWidth="1"/>
    <col min="1800" max="1800" width="14.28515625" style="3" bestFit="1" customWidth="1"/>
    <col min="1801" max="1801" width="16.7109375" style="3" customWidth="1"/>
    <col min="1802" max="1802" width="17.28515625" style="3" customWidth="1"/>
    <col min="1803" max="1803" width="12.42578125" style="3" customWidth="1"/>
    <col min="1804" max="1804" width="12" style="3" customWidth="1"/>
    <col min="1805" max="1805" width="12.42578125" style="3" customWidth="1"/>
    <col min="1806" max="1806" width="17" style="3" customWidth="1"/>
    <col min="1807" max="1807" width="15" style="3" customWidth="1"/>
    <col min="1808" max="2048" width="11.42578125" style="3"/>
    <col min="2049" max="2049" width="5.7109375" style="3" customWidth="1"/>
    <col min="2050" max="2050" width="40.42578125" style="3" customWidth="1"/>
    <col min="2051" max="2051" width="7.140625" style="3" customWidth="1"/>
    <col min="2052" max="2052" width="11" style="3" customWidth="1"/>
    <col min="2053" max="2053" width="10.28515625" style="3" customWidth="1"/>
    <col min="2054" max="2054" width="20.5703125" style="3" customWidth="1"/>
    <col min="2055" max="2055" width="20.85546875" style="3" customWidth="1"/>
    <col min="2056" max="2056" width="14.28515625" style="3" bestFit="1" customWidth="1"/>
    <col min="2057" max="2057" width="16.7109375" style="3" customWidth="1"/>
    <col min="2058" max="2058" width="17.28515625" style="3" customWidth="1"/>
    <col min="2059" max="2059" width="12.42578125" style="3" customWidth="1"/>
    <col min="2060" max="2060" width="12" style="3" customWidth="1"/>
    <col min="2061" max="2061" width="12.42578125" style="3" customWidth="1"/>
    <col min="2062" max="2062" width="17" style="3" customWidth="1"/>
    <col min="2063" max="2063" width="15" style="3" customWidth="1"/>
    <col min="2064" max="2304" width="11.42578125" style="3"/>
    <col min="2305" max="2305" width="5.7109375" style="3" customWidth="1"/>
    <col min="2306" max="2306" width="40.42578125" style="3" customWidth="1"/>
    <col min="2307" max="2307" width="7.140625" style="3" customWidth="1"/>
    <col min="2308" max="2308" width="11" style="3" customWidth="1"/>
    <col min="2309" max="2309" width="10.28515625" style="3" customWidth="1"/>
    <col min="2310" max="2310" width="20.5703125" style="3" customWidth="1"/>
    <col min="2311" max="2311" width="20.85546875" style="3" customWidth="1"/>
    <col min="2312" max="2312" width="14.28515625" style="3" bestFit="1" customWidth="1"/>
    <col min="2313" max="2313" width="16.7109375" style="3" customWidth="1"/>
    <col min="2314" max="2314" width="17.28515625" style="3" customWidth="1"/>
    <col min="2315" max="2315" width="12.42578125" style="3" customWidth="1"/>
    <col min="2316" max="2316" width="12" style="3" customWidth="1"/>
    <col min="2317" max="2317" width="12.42578125" style="3" customWidth="1"/>
    <col min="2318" max="2318" width="17" style="3" customWidth="1"/>
    <col min="2319" max="2319" width="15" style="3" customWidth="1"/>
    <col min="2320" max="2560" width="11.42578125" style="3"/>
    <col min="2561" max="2561" width="5.7109375" style="3" customWidth="1"/>
    <col min="2562" max="2562" width="40.42578125" style="3" customWidth="1"/>
    <col min="2563" max="2563" width="7.140625" style="3" customWidth="1"/>
    <col min="2564" max="2564" width="11" style="3" customWidth="1"/>
    <col min="2565" max="2565" width="10.28515625" style="3" customWidth="1"/>
    <col min="2566" max="2566" width="20.5703125" style="3" customWidth="1"/>
    <col min="2567" max="2567" width="20.85546875" style="3" customWidth="1"/>
    <col min="2568" max="2568" width="14.28515625" style="3" bestFit="1" customWidth="1"/>
    <col min="2569" max="2569" width="16.7109375" style="3" customWidth="1"/>
    <col min="2570" max="2570" width="17.28515625" style="3" customWidth="1"/>
    <col min="2571" max="2571" width="12.42578125" style="3" customWidth="1"/>
    <col min="2572" max="2572" width="12" style="3" customWidth="1"/>
    <col min="2573" max="2573" width="12.42578125" style="3" customWidth="1"/>
    <col min="2574" max="2574" width="17" style="3" customWidth="1"/>
    <col min="2575" max="2575" width="15" style="3" customWidth="1"/>
    <col min="2576" max="2816" width="11.42578125" style="3"/>
    <col min="2817" max="2817" width="5.7109375" style="3" customWidth="1"/>
    <col min="2818" max="2818" width="40.42578125" style="3" customWidth="1"/>
    <col min="2819" max="2819" width="7.140625" style="3" customWidth="1"/>
    <col min="2820" max="2820" width="11" style="3" customWidth="1"/>
    <col min="2821" max="2821" width="10.28515625" style="3" customWidth="1"/>
    <col min="2822" max="2822" width="20.5703125" style="3" customWidth="1"/>
    <col min="2823" max="2823" width="20.85546875" style="3" customWidth="1"/>
    <col min="2824" max="2824" width="14.28515625" style="3" bestFit="1" customWidth="1"/>
    <col min="2825" max="2825" width="16.7109375" style="3" customWidth="1"/>
    <col min="2826" max="2826" width="17.28515625" style="3" customWidth="1"/>
    <col min="2827" max="2827" width="12.42578125" style="3" customWidth="1"/>
    <col min="2828" max="2828" width="12" style="3" customWidth="1"/>
    <col min="2829" max="2829" width="12.42578125" style="3" customWidth="1"/>
    <col min="2830" max="2830" width="17" style="3" customWidth="1"/>
    <col min="2831" max="2831" width="15" style="3" customWidth="1"/>
    <col min="2832" max="3072" width="11.42578125" style="3"/>
    <col min="3073" max="3073" width="5.7109375" style="3" customWidth="1"/>
    <col min="3074" max="3074" width="40.42578125" style="3" customWidth="1"/>
    <col min="3075" max="3075" width="7.140625" style="3" customWidth="1"/>
    <col min="3076" max="3076" width="11" style="3" customWidth="1"/>
    <col min="3077" max="3077" width="10.28515625" style="3" customWidth="1"/>
    <col min="3078" max="3078" width="20.5703125" style="3" customWidth="1"/>
    <col min="3079" max="3079" width="20.85546875" style="3" customWidth="1"/>
    <col min="3080" max="3080" width="14.28515625" style="3" bestFit="1" customWidth="1"/>
    <col min="3081" max="3081" width="16.7109375" style="3" customWidth="1"/>
    <col min="3082" max="3082" width="17.28515625" style="3" customWidth="1"/>
    <col min="3083" max="3083" width="12.42578125" style="3" customWidth="1"/>
    <col min="3084" max="3084" width="12" style="3" customWidth="1"/>
    <col min="3085" max="3085" width="12.42578125" style="3" customWidth="1"/>
    <col min="3086" max="3086" width="17" style="3" customWidth="1"/>
    <col min="3087" max="3087" width="15" style="3" customWidth="1"/>
    <col min="3088" max="3328" width="11.42578125" style="3"/>
    <col min="3329" max="3329" width="5.7109375" style="3" customWidth="1"/>
    <col min="3330" max="3330" width="40.42578125" style="3" customWidth="1"/>
    <col min="3331" max="3331" width="7.140625" style="3" customWidth="1"/>
    <col min="3332" max="3332" width="11" style="3" customWidth="1"/>
    <col min="3333" max="3333" width="10.28515625" style="3" customWidth="1"/>
    <col min="3334" max="3334" width="20.5703125" style="3" customWidth="1"/>
    <col min="3335" max="3335" width="20.85546875" style="3" customWidth="1"/>
    <col min="3336" max="3336" width="14.28515625" style="3" bestFit="1" customWidth="1"/>
    <col min="3337" max="3337" width="16.7109375" style="3" customWidth="1"/>
    <col min="3338" max="3338" width="17.28515625" style="3" customWidth="1"/>
    <col min="3339" max="3339" width="12.42578125" style="3" customWidth="1"/>
    <col min="3340" max="3340" width="12" style="3" customWidth="1"/>
    <col min="3341" max="3341" width="12.42578125" style="3" customWidth="1"/>
    <col min="3342" max="3342" width="17" style="3" customWidth="1"/>
    <col min="3343" max="3343" width="15" style="3" customWidth="1"/>
    <col min="3344" max="3584" width="11.42578125" style="3"/>
    <col min="3585" max="3585" width="5.7109375" style="3" customWidth="1"/>
    <col min="3586" max="3586" width="40.42578125" style="3" customWidth="1"/>
    <col min="3587" max="3587" width="7.140625" style="3" customWidth="1"/>
    <col min="3588" max="3588" width="11" style="3" customWidth="1"/>
    <col min="3589" max="3589" width="10.28515625" style="3" customWidth="1"/>
    <col min="3590" max="3590" width="20.5703125" style="3" customWidth="1"/>
    <col min="3591" max="3591" width="20.85546875" style="3" customWidth="1"/>
    <col min="3592" max="3592" width="14.28515625" style="3" bestFit="1" customWidth="1"/>
    <col min="3593" max="3593" width="16.7109375" style="3" customWidth="1"/>
    <col min="3594" max="3594" width="17.28515625" style="3" customWidth="1"/>
    <col min="3595" max="3595" width="12.42578125" style="3" customWidth="1"/>
    <col min="3596" max="3596" width="12" style="3" customWidth="1"/>
    <col min="3597" max="3597" width="12.42578125" style="3" customWidth="1"/>
    <col min="3598" max="3598" width="17" style="3" customWidth="1"/>
    <col min="3599" max="3599" width="15" style="3" customWidth="1"/>
    <col min="3600" max="3840" width="11.42578125" style="3"/>
    <col min="3841" max="3841" width="5.7109375" style="3" customWidth="1"/>
    <col min="3842" max="3842" width="40.42578125" style="3" customWidth="1"/>
    <col min="3843" max="3843" width="7.140625" style="3" customWidth="1"/>
    <col min="3844" max="3844" width="11" style="3" customWidth="1"/>
    <col min="3845" max="3845" width="10.28515625" style="3" customWidth="1"/>
    <col min="3846" max="3846" width="20.5703125" style="3" customWidth="1"/>
    <col min="3847" max="3847" width="20.85546875" style="3" customWidth="1"/>
    <col min="3848" max="3848" width="14.28515625" style="3" bestFit="1" customWidth="1"/>
    <col min="3849" max="3849" width="16.7109375" style="3" customWidth="1"/>
    <col min="3850" max="3850" width="17.28515625" style="3" customWidth="1"/>
    <col min="3851" max="3851" width="12.42578125" style="3" customWidth="1"/>
    <col min="3852" max="3852" width="12" style="3" customWidth="1"/>
    <col min="3853" max="3853" width="12.42578125" style="3" customWidth="1"/>
    <col min="3854" max="3854" width="17" style="3" customWidth="1"/>
    <col min="3855" max="3855" width="15" style="3" customWidth="1"/>
    <col min="3856" max="4096" width="11.42578125" style="3"/>
    <col min="4097" max="4097" width="5.7109375" style="3" customWidth="1"/>
    <col min="4098" max="4098" width="40.42578125" style="3" customWidth="1"/>
    <col min="4099" max="4099" width="7.140625" style="3" customWidth="1"/>
    <col min="4100" max="4100" width="11" style="3" customWidth="1"/>
    <col min="4101" max="4101" width="10.28515625" style="3" customWidth="1"/>
    <col min="4102" max="4102" width="20.5703125" style="3" customWidth="1"/>
    <col min="4103" max="4103" width="20.85546875" style="3" customWidth="1"/>
    <col min="4104" max="4104" width="14.28515625" style="3" bestFit="1" customWidth="1"/>
    <col min="4105" max="4105" width="16.7109375" style="3" customWidth="1"/>
    <col min="4106" max="4106" width="17.28515625" style="3" customWidth="1"/>
    <col min="4107" max="4107" width="12.42578125" style="3" customWidth="1"/>
    <col min="4108" max="4108" width="12" style="3" customWidth="1"/>
    <col min="4109" max="4109" width="12.42578125" style="3" customWidth="1"/>
    <col min="4110" max="4110" width="17" style="3" customWidth="1"/>
    <col min="4111" max="4111" width="15" style="3" customWidth="1"/>
    <col min="4112" max="4352" width="11.42578125" style="3"/>
    <col min="4353" max="4353" width="5.7109375" style="3" customWidth="1"/>
    <col min="4354" max="4354" width="40.42578125" style="3" customWidth="1"/>
    <col min="4355" max="4355" width="7.140625" style="3" customWidth="1"/>
    <col min="4356" max="4356" width="11" style="3" customWidth="1"/>
    <col min="4357" max="4357" width="10.28515625" style="3" customWidth="1"/>
    <col min="4358" max="4358" width="20.5703125" style="3" customWidth="1"/>
    <col min="4359" max="4359" width="20.85546875" style="3" customWidth="1"/>
    <col min="4360" max="4360" width="14.28515625" style="3" bestFit="1" customWidth="1"/>
    <col min="4361" max="4361" width="16.7109375" style="3" customWidth="1"/>
    <col min="4362" max="4362" width="17.28515625" style="3" customWidth="1"/>
    <col min="4363" max="4363" width="12.42578125" style="3" customWidth="1"/>
    <col min="4364" max="4364" width="12" style="3" customWidth="1"/>
    <col min="4365" max="4365" width="12.42578125" style="3" customWidth="1"/>
    <col min="4366" max="4366" width="17" style="3" customWidth="1"/>
    <col min="4367" max="4367" width="15" style="3" customWidth="1"/>
    <col min="4368" max="4608" width="11.42578125" style="3"/>
    <col min="4609" max="4609" width="5.7109375" style="3" customWidth="1"/>
    <col min="4610" max="4610" width="40.42578125" style="3" customWidth="1"/>
    <col min="4611" max="4611" width="7.140625" style="3" customWidth="1"/>
    <col min="4612" max="4612" width="11" style="3" customWidth="1"/>
    <col min="4613" max="4613" width="10.28515625" style="3" customWidth="1"/>
    <col min="4614" max="4614" width="20.5703125" style="3" customWidth="1"/>
    <col min="4615" max="4615" width="20.85546875" style="3" customWidth="1"/>
    <col min="4616" max="4616" width="14.28515625" style="3" bestFit="1" customWidth="1"/>
    <col min="4617" max="4617" width="16.7109375" style="3" customWidth="1"/>
    <col min="4618" max="4618" width="17.28515625" style="3" customWidth="1"/>
    <col min="4619" max="4619" width="12.42578125" style="3" customWidth="1"/>
    <col min="4620" max="4620" width="12" style="3" customWidth="1"/>
    <col min="4621" max="4621" width="12.42578125" style="3" customWidth="1"/>
    <col min="4622" max="4622" width="17" style="3" customWidth="1"/>
    <col min="4623" max="4623" width="15" style="3" customWidth="1"/>
    <col min="4624" max="4864" width="11.42578125" style="3"/>
    <col min="4865" max="4865" width="5.7109375" style="3" customWidth="1"/>
    <col min="4866" max="4866" width="40.42578125" style="3" customWidth="1"/>
    <col min="4867" max="4867" width="7.140625" style="3" customWidth="1"/>
    <col min="4868" max="4868" width="11" style="3" customWidth="1"/>
    <col min="4869" max="4869" width="10.28515625" style="3" customWidth="1"/>
    <col min="4870" max="4870" width="20.5703125" style="3" customWidth="1"/>
    <col min="4871" max="4871" width="20.85546875" style="3" customWidth="1"/>
    <col min="4872" max="4872" width="14.28515625" style="3" bestFit="1" customWidth="1"/>
    <col min="4873" max="4873" width="16.7109375" style="3" customWidth="1"/>
    <col min="4874" max="4874" width="17.28515625" style="3" customWidth="1"/>
    <col min="4875" max="4875" width="12.42578125" style="3" customWidth="1"/>
    <col min="4876" max="4876" width="12" style="3" customWidth="1"/>
    <col min="4877" max="4877" width="12.42578125" style="3" customWidth="1"/>
    <col min="4878" max="4878" width="17" style="3" customWidth="1"/>
    <col min="4879" max="4879" width="15" style="3" customWidth="1"/>
    <col min="4880" max="5120" width="11.42578125" style="3"/>
    <col min="5121" max="5121" width="5.7109375" style="3" customWidth="1"/>
    <col min="5122" max="5122" width="40.42578125" style="3" customWidth="1"/>
    <col min="5123" max="5123" width="7.140625" style="3" customWidth="1"/>
    <col min="5124" max="5124" width="11" style="3" customWidth="1"/>
    <col min="5125" max="5125" width="10.28515625" style="3" customWidth="1"/>
    <col min="5126" max="5126" width="20.5703125" style="3" customWidth="1"/>
    <col min="5127" max="5127" width="20.85546875" style="3" customWidth="1"/>
    <col min="5128" max="5128" width="14.28515625" style="3" bestFit="1" customWidth="1"/>
    <col min="5129" max="5129" width="16.7109375" style="3" customWidth="1"/>
    <col min="5130" max="5130" width="17.28515625" style="3" customWidth="1"/>
    <col min="5131" max="5131" width="12.42578125" style="3" customWidth="1"/>
    <col min="5132" max="5132" width="12" style="3" customWidth="1"/>
    <col min="5133" max="5133" width="12.42578125" style="3" customWidth="1"/>
    <col min="5134" max="5134" width="17" style="3" customWidth="1"/>
    <col min="5135" max="5135" width="15" style="3" customWidth="1"/>
    <col min="5136" max="5376" width="11.42578125" style="3"/>
    <col min="5377" max="5377" width="5.7109375" style="3" customWidth="1"/>
    <col min="5378" max="5378" width="40.42578125" style="3" customWidth="1"/>
    <col min="5379" max="5379" width="7.140625" style="3" customWidth="1"/>
    <col min="5380" max="5380" width="11" style="3" customWidth="1"/>
    <col min="5381" max="5381" width="10.28515625" style="3" customWidth="1"/>
    <col min="5382" max="5382" width="20.5703125" style="3" customWidth="1"/>
    <col min="5383" max="5383" width="20.85546875" style="3" customWidth="1"/>
    <col min="5384" max="5384" width="14.28515625" style="3" bestFit="1" customWidth="1"/>
    <col min="5385" max="5385" width="16.7109375" style="3" customWidth="1"/>
    <col min="5386" max="5386" width="17.28515625" style="3" customWidth="1"/>
    <col min="5387" max="5387" width="12.42578125" style="3" customWidth="1"/>
    <col min="5388" max="5388" width="12" style="3" customWidth="1"/>
    <col min="5389" max="5389" width="12.42578125" style="3" customWidth="1"/>
    <col min="5390" max="5390" width="17" style="3" customWidth="1"/>
    <col min="5391" max="5391" width="15" style="3" customWidth="1"/>
    <col min="5392" max="5632" width="11.42578125" style="3"/>
    <col min="5633" max="5633" width="5.7109375" style="3" customWidth="1"/>
    <col min="5634" max="5634" width="40.42578125" style="3" customWidth="1"/>
    <col min="5635" max="5635" width="7.140625" style="3" customWidth="1"/>
    <col min="5636" max="5636" width="11" style="3" customWidth="1"/>
    <col min="5637" max="5637" width="10.28515625" style="3" customWidth="1"/>
    <col min="5638" max="5638" width="20.5703125" style="3" customWidth="1"/>
    <col min="5639" max="5639" width="20.85546875" style="3" customWidth="1"/>
    <col min="5640" max="5640" width="14.28515625" style="3" bestFit="1" customWidth="1"/>
    <col min="5641" max="5641" width="16.7109375" style="3" customWidth="1"/>
    <col min="5642" max="5642" width="17.28515625" style="3" customWidth="1"/>
    <col min="5643" max="5643" width="12.42578125" style="3" customWidth="1"/>
    <col min="5644" max="5644" width="12" style="3" customWidth="1"/>
    <col min="5645" max="5645" width="12.42578125" style="3" customWidth="1"/>
    <col min="5646" max="5646" width="17" style="3" customWidth="1"/>
    <col min="5647" max="5647" width="15" style="3" customWidth="1"/>
    <col min="5648" max="5888" width="11.42578125" style="3"/>
    <col min="5889" max="5889" width="5.7109375" style="3" customWidth="1"/>
    <col min="5890" max="5890" width="40.42578125" style="3" customWidth="1"/>
    <col min="5891" max="5891" width="7.140625" style="3" customWidth="1"/>
    <col min="5892" max="5892" width="11" style="3" customWidth="1"/>
    <col min="5893" max="5893" width="10.28515625" style="3" customWidth="1"/>
    <col min="5894" max="5894" width="20.5703125" style="3" customWidth="1"/>
    <col min="5895" max="5895" width="20.85546875" style="3" customWidth="1"/>
    <col min="5896" max="5896" width="14.28515625" style="3" bestFit="1" customWidth="1"/>
    <col min="5897" max="5897" width="16.7109375" style="3" customWidth="1"/>
    <col min="5898" max="5898" width="17.28515625" style="3" customWidth="1"/>
    <col min="5899" max="5899" width="12.42578125" style="3" customWidth="1"/>
    <col min="5900" max="5900" width="12" style="3" customWidth="1"/>
    <col min="5901" max="5901" width="12.42578125" style="3" customWidth="1"/>
    <col min="5902" max="5902" width="17" style="3" customWidth="1"/>
    <col min="5903" max="5903" width="15" style="3" customWidth="1"/>
    <col min="5904" max="6144" width="11.42578125" style="3"/>
    <col min="6145" max="6145" width="5.7109375" style="3" customWidth="1"/>
    <col min="6146" max="6146" width="40.42578125" style="3" customWidth="1"/>
    <col min="6147" max="6147" width="7.140625" style="3" customWidth="1"/>
    <col min="6148" max="6148" width="11" style="3" customWidth="1"/>
    <col min="6149" max="6149" width="10.28515625" style="3" customWidth="1"/>
    <col min="6150" max="6150" width="20.5703125" style="3" customWidth="1"/>
    <col min="6151" max="6151" width="20.85546875" style="3" customWidth="1"/>
    <col min="6152" max="6152" width="14.28515625" style="3" bestFit="1" customWidth="1"/>
    <col min="6153" max="6153" width="16.7109375" style="3" customWidth="1"/>
    <col min="6154" max="6154" width="17.28515625" style="3" customWidth="1"/>
    <col min="6155" max="6155" width="12.42578125" style="3" customWidth="1"/>
    <col min="6156" max="6156" width="12" style="3" customWidth="1"/>
    <col min="6157" max="6157" width="12.42578125" style="3" customWidth="1"/>
    <col min="6158" max="6158" width="17" style="3" customWidth="1"/>
    <col min="6159" max="6159" width="15" style="3" customWidth="1"/>
    <col min="6160" max="6400" width="11.42578125" style="3"/>
    <col min="6401" max="6401" width="5.7109375" style="3" customWidth="1"/>
    <col min="6402" max="6402" width="40.42578125" style="3" customWidth="1"/>
    <col min="6403" max="6403" width="7.140625" style="3" customWidth="1"/>
    <col min="6404" max="6404" width="11" style="3" customWidth="1"/>
    <col min="6405" max="6405" width="10.28515625" style="3" customWidth="1"/>
    <col min="6406" max="6406" width="20.5703125" style="3" customWidth="1"/>
    <col min="6407" max="6407" width="20.85546875" style="3" customWidth="1"/>
    <col min="6408" max="6408" width="14.28515625" style="3" bestFit="1" customWidth="1"/>
    <col min="6409" max="6409" width="16.7109375" style="3" customWidth="1"/>
    <col min="6410" max="6410" width="17.28515625" style="3" customWidth="1"/>
    <col min="6411" max="6411" width="12.42578125" style="3" customWidth="1"/>
    <col min="6412" max="6412" width="12" style="3" customWidth="1"/>
    <col min="6413" max="6413" width="12.42578125" style="3" customWidth="1"/>
    <col min="6414" max="6414" width="17" style="3" customWidth="1"/>
    <col min="6415" max="6415" width="15" style="3" customWidth="1"/>
    <col min="6416" max="6656" width="11.42578125" style="3"/>
    <col min="6657" max="6657" width="5.7109375" style="3" customWidth="1"/>
    <col min="6658" max="6658" width="40.42578125" style="3" customWidth="1"/>
    <col min="6659" max="6659" width="7.140625" style="3" customWidth="1"/>
    <col min="6660" max="6660" width="11" style="3" customWidth="1"/>
    <col min="6661" max="6661" width="10.28515625" style="3" customWidth="1"/>
    <col min="6662" max="6662" width="20.5703125" style="3" customWidth="1"/>
    <col min="6663" max="6663" width="20.85546875" style="3" customWidth="1"/>
    <col min="6664" max="6664" width="14.28515625" style="3" bestFit="1" customWidth="1"/>
    <col min="6665" max="6665" width="16.7109375" style="3" customWidth="1"/>
    <col min="6666" max="6666" width="17.28515625" style="3" customWidth="1"/>
    <col min="6667" max="6667" width="12.42578125" style="3" customWidth="1"/>
    <col min="6668" max="6668" width="12" style="3" customWidth="1"/>
    <col min="6669" max="6669" width="12.42578125" style="3" customWidth="1"/>
    <col min="6670" max="6670" width="17" style="3" customWidth="1"/>
    <col min="6671" max="6671" width="15" style="3" customWidth="1"/>
    <col min="6672" max="6912" width="11.42578125" style="3"/>
    <col min="6913" max="6913" width="5.7109375" style="3" customWidth="1"/>
    <col min="6914" max="6914" width="40.42578125" style="3" customWidth="1"/>
    <col min="6915" max="6915" width="7.140625" style="3" customWidth="1"/>
    <col min="6916" max="6916" width="11" style="3" customWidth="1"/>
    <col min="6917" max="6917" width="10.28515625" style="3" customWidth="1"/>
    <col min="6918" max="6918" width="20.5703125" style="3" customWidth="1"/>
    <col min="6919" max="6919" width="20.85546875" style="3" customWidth="1"/>
    <col min="6920" max="6920" width="14.28515625" style="3" bestFit="1" customWidth="1"/>
    <col min="6921" max="6921" width="16.7109375" style="3" customWidth="1"/>
    <col min="6922" max="6922" width="17.28515625" style="3" customWidth="1"/>
    <col min="6923" max="6923" width="12.42578125" style="3" customWidth="1"/>
    <col min="6924" max="6924" width="12" style="3" customWidth="1"/>
    <col min="6925" max="6925" width="12.42578125" style="3" customWidth="1"/>
    <col min="6926" max="6926" width="17" style="3" customWidth="1"/>
    <col min="6927" max="6927" width="15" style="3" customWidth="1"/>
    <col min="6928" max="7168" width="11.42578125" style="3"/>
    <col min="7169" max="7169" width="5.7109375" style="3" customWidth="1"/>
    <col min="7170" max="7170" width="40.42578125" style="3" customWidth="1"/>
    <col min="7171" max="7171" width="7.140625" style="3" customWidth="1"/>
    <col min="7172" max="7172" width="11" style="3" customWidth="1"/>
    <col min="7173" max="7173" width="10.28515625" style="3" customWidth="1"/>
    <col min="7174" max="7174" width="20.5703125" style="3" customWidth="1"/>
    <col min="7175" max="7175" width="20.85546875" style="3" customWidth="1"/>
    <col min="7176" max="7176" width="14.28515625" style="3" bestFit="1" customWidth="1"/>
    <col min="7177" max="7177" width="16.7109375" style="3" customWidth="1"/>
    <col min="7178" max="7178" width="17.28515625" style="3" customWidth="1"/>
    <col min="7179" max="7179" width="12.42578125" style="3" customWidth="1"/>
    <col min="7180" max="7180" width="12" style="3" customWidth="1"/>
    <col min="7181" max="7181" width="12.42578125" style="3" customWidth="1"/>
    <col min="7182" max="7182" width="17" style="3" customWidth="1"/>
    <col min="7183" max="7183" width="15" style="3" customWidth="1"/>
    <col min="7184" max="7424" width="11.42578125" style="3"/>
    <col min="7425" max="7425" width="5.7109375" style="3" customWidth="1"/>
    <col min="7426" max="7426" width="40.42578125" style="3" customWidth="1"/>
    <col min="7427" max="7427" width="7.140625" style="3" customWidth="1"/>
    <col min="7428" max="7428" width="11" style="3" customWidth="1"/>
    <col min="7429" max="7429" width="10.28515625" style="3" customWidth="1"/>
    <col min="7430" max="7430" width="20.5703125" style="3" customWidth="1"/>
    <col min="7431" max="7431" width="20.85546875" style="3" customWidth="1"/>
    <col min="7432" max="7432" width="14.28515625" style="3" bestFit="1" customWidth="1"/>
    <col min="7433" max="7433" width="16.7109375" style="3" customWidth="1"/>
    <col min="7434" max="7434" width="17.28515625" style="3" customWidth="1"/>
    <col min="7435" max="7435" width="12.42578125" style="3" customWidth="1"/>
    <col min="7436" max="7436" width="12" style="3" customWidth="1"/>
    <col min="7437" max="7437" width="12.42578125" style="3" customWidth="1"/>
    <col min="7438" max="7438" width="17" style="3" customWidth="1"/>
    <col min="7439" max="7439" width="15" style="3" customWidth="1"/>
    <col min="7440" max="7680" width="11.42578125" style="3"/>
    <col min="7681" max="7681" width="5.7109375" style="3" customWidth="1"/>
    <col min="7682" max="7682" width="40.42578125" style="3" customWidth="1"/>
    <col min="7683" max="7683" width="7.140625" style="3" customWidth="1"/>
    <col min="7684" max="7684" width="11" style="3" customWidth="1"/>
    <col min="7685" max="7685" width="10.28515625" style="3" customWidth="1"/>
    <col min="7686" max="7686" width="20.5703125" style="3" customWidth="1"/>
    <col min="7687" max="7687" width="20.85546875" style="3" customWidth="1"/>
    <col min="7688" max="7688" width="14.28515625" style="3" bestFit="1" customWidth="1"/>
    <col min="7689" max="7689" width="16.7109375" style="3" customWidth="1"/>
    <col min="7690" max="7690" width="17.28515625" style="3" customWidth="1"/>
    <col min="7691" max="7691" width="12.42578125" style="3" customWidth="1"/>
    <col min="7692" max="7692" width="12" style="3" customWidth="1"/>
    <col min="7693" max="7693" width="12.42578125" style="3" customWidth="1"/>
    <col min="7694" max="7694" width="17" style="3" customWidth="1"/>
    <col min="7695" max="7695" width="15" style="3" customWidth="1"/>
    <col min="7696" max="7936" width="11.42578125" style="3"/>
    <col min="7937" max="7937" width="5.7109375" style="3" customWidth="1"/>
    <col min="7938" max="7938" width="40.42578125" style="3" customWidth="1"/>
    <col min="7939" max="7939" width="7.140625" style="3" customWidth="1"/>
    <col min="7940" max="7940" width="11" style="3" customWidth="1"/>
    <col min="7941" max="7941" width="10.28515625" style="3" customWidth="1"/>
    <col min="7942" max="7942" width="20.5703125" style="3" customWidth="1"/>
    <col min="7943" max="7943" width="20.85546875" style="3" customWidth="1"/>
    <col min="7944" max="7944" width="14.28515625" style="3" bestFit="1" customWidth="1"/>
    <col min="7945" max="7945" width="16.7109375" style="3" customWidth="1"/>
    <col min="7946" max="7946" width="17.28515625" style="3" customWidth="1"/>
    <col min="7947" max="7947" width="12.42578125" style="3" customWidth="1"/>
    <col min="7948" max="7948" width="12" style="3" customWidth="1"/>
    <col min="7949" max="7949" width="12.42578125" style="3" customWidth="1"/>
    <col min="7950" max="7950" width="17" style="3" customWidth="1"/>
    <col min="7951" max="7951" width="15" style="3" customWidth="1"/>
    <col min="7952" max="8192" width="11.42578125" style="3"/>
    <col min="8193" max="8193" width="5.7109375" style="3" customWidth="1"/>
    <col min="8194" max="8194" width="40.42578125" style="3" customWidth="1"/>
    <col min="8195" max="8195" width="7.140625" style="3" customWidth="1"/>
    <col min="8196" max="8196" width="11" style="3" customWidth="1"/>
    <col min="8197" max="8197" width="10.28515625" style="3" customWidth="1"/>
    <col min="8198" max="8198" width="20.5703125" style="3" customWidth="1"/>
    <col min="8199" max="8199" width="20.85546875" style="3" customWidth="1"/>
    <col min="8200" max="8200" width="14.28515625" style="3" bestFit="1" customWidth="1"/>
    <col min="8201" max="8201" width="16.7109375" style="3" customWidth="1"/>
    <col min="8202" max="8202" width="17.28515625" style="3" customWidth="1"/>
    <col min="8203" max="8203" width="12.42578125" style="3" customWidth="1"/>
    <col min="8204" max="8204" width="12" style="3" customWidth="1"/>
    <col min="8205" max="8205" width="12.42578125" style="3" customWidth="1"/>
    <col min="8206" max="8206" width="17" style="3" customWidth="1"/>
    <col min="8207" max="8207" width="15" style="3" customWidth="1"/>
    <col min="8208" max="8448" width="11.42578125" style="3"/>
    <col min="8449" max="8449" width="5.7109375" style="3" customWidth="1"/>
    <col min="8450" max="8450" width="40.42578125" style="3" customWidth="1"/>
    <col min="8451" max="8451" width="7.140625" style="3" customWidth="1"/>
    <col min="8452" max="8452" width="11" style="3" customWidth="1"/>
    <col min="8453" max="8453" width="10.28515625" style="3" customWidth="1"/>
    <col min="8454" max="8454" width="20.5703125" style="3" customWidth="1"/>
    <col min="8455" max="8455" width="20.85546875" style="3" customWidth="1"/>
    <col min="8456" max="8456" width="14.28515625" style="3" bestFit="1" customWidth="1"/>
    <col min="8457" max="8457" width="16.7109375" style="3" customWidth="1"/>
    <col min="8458" max="8458" width="17.28515625" style="3" customWidth="1"/>
    <col min="8459" max="8459" width="12.42578125" style="3" customWidth="1"/>
    <col min="8460" max="8460" width="12" style="3" customWidth="1"/>
    <col min="8461" max="8461" width="12.42578125" style="3" customWidth="1"/>
    <col min="8462" max="8462" width="17" style="3" customWidth="1"/>
    <col min="8463" max="8463" width="15" style="3" customWidth="1"/>
    <col min="8464" max="8704" width="11.42578125" style="3"/>
    <col min="8705" max="8705" width="5.7109375" style="3" customWidth="1"/>
    <col min="8706" max="8706" width="40.42578125" style="3" customWidth="1"/>
    <col min="8707" max="8707" width="7.140625" style="3" customWidth="1"/>
    <col min="8708" max="8708" width="11" style="3" customWidth="1"/>
    <col min="8709" max="8709" width="10.28515625" style="3" customWidth="1"/>
    <col min="8710" max="8710" width="20.5703125" style="3" customWidth="1"/>
    <col min="8711" max="8711" width="20.85546875" style="3" customWidth="1"/>
    <col min="8712" max="8712" width="14.28515625" style="3" bestFit="1" customWidth="1"/>
    <col min="8713" max="8713" width="16.7109375" style="3" customWidth="1"/>
    <col min="8714" max="8714" width="17.28515625" style="3" customWidth="1"/>
    <col min="8715" max="8715" width="12.42578125" style="3" customWidth="1"/>
    <col min="8716" max="8716" width="12" style="3" customWidth="1"/>
    <col min="8717" max="8717" width="12.42578125" style="3" customWidth="1"/>
    <col min="8718" max="8718" width="17" style="3" customWidth="1"/>
    <col min="8719" max="8719" width="15" style="3" customWidth="1"/>
    <col min="8720" max="8960" width="11.42578125" style="3"/>
    <col min="8961" max="8961" width="5.7109375" style="3" customWidth="1"/>
    <col min="8962" max="8962" width="40.42578125" style="3" customWidth="1"/>
    <col min="8963" max="8963" width="7.140625" style="3" customWidth="1"/>
    <col min="8964" max="8964" width="11" style="3" customWidth="1"/>
    <col min="8965" max="8965" width="10.28515625" style="3" customWidth="1"/>
    <col min="8966" max="8966" width="20.5703125" style="3" customWidth="1"/>
    <col min="8967" max="8967" width="20.85546875" style="3" customWidth="1"/>
    <col min="8968" max="8968" width="14.28515625" style="3" bestFit="1" customWidth="1"/>
    <col min="8969" max="8969" width="16.7109375" style="3" customWidth="1"/>
    <col min="8970" max="8970" width="17.28515625" style="3" customWidth="1"/>
    <col min="8971" max="8971" width="12.42578125" style="3" customWidth="1"/>
    <col min="8972" max="8972" width="12" style="3" customWidth="1"/>
    <col min="8973" max="8973" width="12.42578125" style="3" customWidth="1"/>
    <col min="8974" max="8974" width="17" style="3" customWidth="1"/>
    <col min="8975" max="8975" width="15" style="3" customWidth="1"/>
    <col min="8976" max="9216" width="11.42578125" style="3"/>
    <col min="9217" max="9217" width="5.7109375" style="3" customWidth="1"/>
    <col min="9218" max="9218" width="40.42578125" style="3" customWidth="1"/>
    <col min="9219" max="9219" width="7.140625" style="3" customWidth="1"/>
    <col min="9220" max="9220" width="11" style="3" customWidth="1"/>
    <col min="9221" max="9221" width="10.28515625" style="3" customWidth="1"/>
    <col min="9222" max="9222" width="20.5703125" style="3" customWidth="1"/>
    <col min="9223" max="9223" width="20.85546875" style="3" customWidth="1"/>
    <col min="9224" max="9224" width="14.28515625" style="3" bestFit="1" customWidth="1"/>
    <col min="9225" max="9225" width="16.7109375" style="3" customWidth="1"/>
    <col min="9226" max="9226" width="17.28515625" style="3" customWidth="1"/>
    <col min="9227" max="9227" width="12.42578125" style="3" customWidth="1"/>
    <col min="9228" max="9228" width="12" style="3" customWidth="1"/>
    <col min="9229" max="9229" width="12.42578125" style="3" customWidth="1"/>
    <col min="9230" max="9230" width="17" style="3" customWidth="1"/>
    <col min="9231" max="9231" width="15" style="3" customWidth="1"/>
    <col min="9232" max="9472" width="11.42578125" style="3"/>
    <col min="9473" max="9473" width="5.7109375" style="3" customWidth="1"/>
    <col min="9474" max="9474" width="40.42578125" style="3" customWidth="1"/>
    <col min="9475" max="9475" width="7.140625" style="3" customWidth="1"/>
    <col min="9476" max="9476" width="11" style="3" customWidth="1"/>
    <col min="9477" max="9477" width="10.28515625" style="3" customWidth="1"/>
    <col min="9478" max="9478" width="20.5703125" style="3" customWidth="1"/>
    <col min="9479" max="9479" width="20.85546875" style="3" customWidth="1"/>
    <col min="9480" max="9480" width="14.28515625" style="3" bestFit="1" customWidth="1"/>
    <col min="9481" max="9481" width="16.7109375" style="3" customWidth="1"/>
    <col min="9482" max="9482" width="17.28515625" style="3" customWidth="1"/>
    <col min="9483" max="9483" width="12.42578125" style="3" customWidth="1"/>
    <col min="9484" max="9484" width="12" style="3" customWidth="1"/>
    <col min="9485" max="9485" width="12.42578125" style="3" customWidth="1"/>
    <col min="9486" max="9486" width="17" style="3" customWidth="1"/>
    <col min="9487" max="9487" width="15" style="3" customWidth="1"/>
    <col min="9488" max="9728" width="11.42578125" style="3"/>
    <col min="9729" max="9729" width="5.7109375" style="3" customWidth="1"/>
    <col min="9730" max="9730" width="40.42578125" style="3" customWidth="1"/>
    <col min="9731" max="9731" width="7.140625" style="3" customWidth="1"/>
    <col min="9732" max="9732" width="11" style="3" customWidth="1"/>
    <col min="9733" max="9733" width="10.28515625" style="3" customWidth="1"/>
    <col min="9734" max="9734" width="20.5703125" style="3" customWidth="1"/>
    <col min="9735" max="9735" width="20.85546875" style="3" customWidth="1"/>
    <col min="9736" max="9736" width="14.28515625" style="3" bestFit="1" customWidth="1"/>
    <col min="9737" max="9737" width="16.7109375" style="3" customWidth="1"/>
    <col min="9738" max="9738" width="17.28515625" style="3" customWidth="1"/>
    <col min="9739" max="9739" width="12.42578125" style="3" customWidth="1"/>
    <col min="9740" max="9740" width="12" style="3" customWidth="1"/>
    <col min="9741" max="9741" width="12.42578125" style="3" customWidth="1"/>
    <col min="9742" max="9742" width="17" style="3" customWidth="1"/>
    <col min="9743" max="9743" width="15" style="3" customWidth="1"/>
    <col min="9744" max="9984" width="11.42578125" style="3"/>
    <col min="9985" max="9985" width="5.7109375" style="3" customWidth="1"/>
    <col min="9986" max="9986" width="40.42578125" style="3" customWidth="1"/>
    <col min="9987" max="9987" width="7.140625" style="3" customWidth="1"/>
    <col min="9988" max="9988" width="11" style="3" customWidth="1"/>
    <col min="9989" max="9989" width="10.28515625" style="3" customWidth="1"/>
    <col min="9990" max="9990" width="20.5703125" style="3" customWidth="1"/>
    <col min="9991" max="9991" width="20.85546875" style="3" customWidth="1"/>
    <col min="9992" max="9992" width="14.28515625" style="3" bestFit="1" customWidth="1"/>
    <col min="9993" max="9993" width="16.7109375" style="3" customWidth="1"/>
    <col min="9994" max="9994" width="17.28515625" style="3" customWidth="1"/>
    <col min="9995" max="9995" width="12.42578125" style="3" customWidth="1"/>
    <col min="9996" max="9996" width="12" style="3" customWidth="1"/>
    <col min="9997" max="9997" width="12.42578125" style="3" customWidth="1"/>
    <col min="9998" max="9998" width="17" style="3" customWidth="1"/>
    <col min="9999" max="9999" width="15" style="3" customWidth="1"/>
    <col min="10000" max="10240" width="11.42578125" style="3"/>
    <col min="10241" max="10241" width="5.7109375" style="3" customWidth="1"/>
    <col min="10242" max="10242" width="40.42578125" style="3" customWidth="1"/>
    <col min="10243" max="10243" width="7.140625" style="3" customWidth="1"/>
    <col min="10244" max="10244" width="11" style="3" customWidth="1"/>
    <col min="10245" max="10245" width="10.28515625" style="3" customWidth="1"/>
    <col min="10246" max="10246" width="20.5703125" style="3" customWidth="1"/>
    <col min="10247" max="10247" width="20.85546875" style="3" customWidth="1"/>
    <col min="10248" max="10248" width="14.28515625" style="3" bestFit="1" customWidth="1"/>
    <col min="10249" max="10249" width="16.7109375" style="3" customWidth="1"/>
    <col min="10250" max="10250" width="17.28515625" style="3" customWidth="1"/>
    <col min="10251" max="10251" width="12.42578125" style="3" customWidth="1"/>
    <col min="10252" max="10252" width="12" style="3" customWidth="1"/>
    <col min="10253" max="10253" width="12.42578125" style="3" customWidth="1"/>
    <col min="10254" max="10254" width="17" style="3" customWidth="1"/>
    <col min="10255" max="10255" width="15" style="3" customWidth="1"/>
    <col min="10256" max="10496" width="11.42578125" style="3"/>
    <col min="10497" max="10497" width="5.7109375" style="3" customWidth="1"/>
    <col min="10498" max="10498" width="40.42578125" style="3" customWidth="1"/>
    <col min="10499" max="10499" width="7.140625" style="3" customWidth="1"/>
    <col min="10500" max="10500" width="11" style="3" customWidth="1"/>
    <col min="10501" max="10501" width="10.28515625" style="3" customWidth="1"/>
    <col min="10502" max="10502" width="20.5703125" style="3" customWidth="1"/>
    <col min="10503" max="10503" width="20.85546875" style="3" customWidth="1"/>
    <col min="10504" max="10504" width="14.28515625" style="3" bestFit="1" customWidth="1"/>
    <col min="10505" max="10505" width="16.7109375" style="3" customWidth="1"/>
    <col min="10506" max="10506" width="17.28515625" style="3" customWidth="1"/>
    <col min="10507" max="10507" width="12.42578125" style="3" customWidth="1"/>
    <col min="10508" max="10508" width="12" style="3" customWidth="1"/>
    <col min="10509" max="10509" width="12.42578125" style="3" customWidth="1"/>
    <col min="10510" max="10510" width="17" style="3" customWidth="1"/>
    <col min="10511" max="10511" width="15" style="3" customWidth="1"/>
    <col min="10512" max="10752" width="11.42578125" style="3"/>
    <col min="10753" max="10753" width="5.7109375" style="3" customWidth="1"/>
    <col min="10754" max="10754" width="40.42578125" style="3" customWidth="1"/>
    <col min="10755" max="10755" width="7.140625" style="3" customWidth="1"/>
    <col min="10756" max="10756" width="11" style="3" customWidth="1"/>
    <col min="10757" max="10757" width="10.28515625" style="3" customWidth="1"/>
    <col min="10758" max="10758" width="20.5703125" style="3" customWidth="1"/>
    <col min="10759" max="10759" width="20.85546875" style="3" customWidth="1"/>
    <col min="10760" max="10760" width="14.28515625" style="3" bestFit="1" customWidth="1"/>
    <col min="10761" max="10761" width="16.7109375" style="3" customWidth="1"/>
    <col min="10762" max="10762" width="17.28515625" style="3" customWidth="1"/>
    <col min="10763" max="10763" width="12.42578125" style="3" customWidth="1"/>
    <col min="10764" max="10764" width="12" style="3" customWidth="1"/>
    <col min="10765" max="10765" width="12.42578125" style="3" customWidth="1"/>
    <col min="10766" max="10766" width="17" style="3" customWidth="1"/>
    <col min="10767" max="10767" width="15" style="3" customWidth="1"/>
    <col min="10768" max="11008" width="11.42578125" style="3"/>
    <col min="11009" max="11009" width="5.7109375" style="3" customWidth="1"/>
    <col min="11010" max="11010" width="40.42578125" style="3" customWidth="1"/>
    <col min="11011" max="11011" width="7.140625" style="3" customWidth="1"/>
    <col min="11012" max="11012" width="11" style="3" customWidth="1"/>
    <col min="11013" max="11013" width="10.28515625" style="3" customWidth="1"/>
    <col min="11014" max="11014" width="20.5703125" style="3" customWidth="1"/>
    <col min="11015" max="11015" width="20.85546875" style="3" customWidth="1"/>
    <col min="11016" max="11016" width="14.28515625" style="3" bestFit="1" customWidth="1"/>
    <col min="11017" max="11017" width="16.7109375" style="3" customWidth="1"/>
    <col min="11018" max="11018" width="17.28515625" style="3" customWidth="1"/>
    <col min="11019" max="11019" width="12.42578125" style="3" customWidth="1"/>
    <col min="11020" max="11020" width="12" style="3" customWidth="1"/>
    <col min="11021" max="11021" width="12.42578125" style="3" customWidth="1"/>
    <col min="11022" max="11022" width="17" style="3" customWidth="1"/>
    <col min="11023" max="11023" width="15" style="3" customWidth="1"/>
    <col min="11024" max="11264" width="11.42578125" style="3"/>
    <col min="11265" max="11265" width="5.7109375" style="3" customWidth="1"/>
    <col min="11266" max="11266" width="40.42578125" style="3" customWidth="1"/>
    <col min="11267" max="11267" width="7.140625" style="3" customWidth="1"/>
    <col min="11268" max="11268" width="11" style="3" customWidth="1"/>
    <col min="11269" max="11269" width="10.28515625" style="3" customWidth="1"/>
    <col min="11270" max="11270" width="20.5703125" style="3" customWidth="1"/>
    <col min="11271" max="11271" width="20.85546875" style="3" customWidth="1"/>
    <col min="11272" max="11272" width="14.28515625" style="3" bestFit="1" customWidth="1"/>
    <col min="11273" max="11273" width="16.7109375" style="3" customWidth="1"/>
    <col min="11274" max="11274" width="17.28515625" style="3" customWidth="1"/>
    <col min="11275" max="11275" width="12.42578125" style="3" customWidth="1"/>
    <col min="11276" max="11276" width="12" style="3" customWidth="1"/>
    <col min="11277" max="11277" width="12.42578125" style="3" customWidth="1"/>
    <col min="11278" max="11278" width="17" style="3" customWidth="1"/>
    <col min="11279" max="11279" width="15" style="3" customWidth="1"/>
    <col min="11280" max="11520" width="11.42578125" style="3"/>
    <col min="11521" max="11521" width="5.7109375" style="3" customWidth="1"/>
    <col min="11522" max="11522" width="40.42578125" style="3" customWidth="1"/>
    <col min="11523" max="11523" width="7.140625" style="3" customWidth="1"/>
    <col min="11524" max="11524" width="11" style="3" customWidth="1"/>
    <col min="11525" max="11525" width="10.28515625" style="3" customWidth="1"/>
    <col min="11526" max="11526" width="20.5703125" style="3" customWidth="1"/>
    <col min="11527" max="11527" width="20.85546875" style="3" customWidth="1"/>
    <col min="11528" max="11528" width="14.28515625" style="3" bestFit="1" customWidth="1"/>
    <col min="11529" max="11529" width="16.7109375" style="3" customWidth="1"/>
    <col min="11530" max="11530" width="17.28515625" style="3" customWidth="1"/>
    <col min="11531" max="11531" width="12.42578125" style="3" customWidth="1"/>
    <col min="11532" max="11532" width="12" style="3" customWidth="1"/>
    <col min="11533" max="11533" width="12.42578125" style="3" customWidth="1"/>
    <col min="11534" max="11534" width="17" style="3" customWidth="1"/>
    <col min="11535" max="11535" width="15" style="3" customWidth="1"/>
    <col min="11536" max="11776" width="11.42578125" style="3"/>
    <col min="11777" max="11777" width="5.7109375" style="3" customWidth="1"/>
    <col min="11778" max="11778" width="40.42578125" style="3" customWidth="1"/>
    <col min="11779" max="11779" width="7.140625" style="3" customWidth="1"/>
    <col min="11780" max="11780" width="11" style="3" customWidth="1"/>
    <col min="11781" max="11781" width="10.28515625" style="3" customWidth="1"/>
    <col min="11782" max="11782" width="20.5703125" style="3" customWidth="1"/>
    <col min="11783" max="11783" width="20.85546875" style="3" customWidth="1"/>
    <col min="11784" max="11784" width="14.28515625" style="3" bestFit="1" customWidth="1"/>
    <col min="11785" max="11785" width="16.7109375" style="3" customWidth="1"/>
    <col min="11786" max="11786" width="17.28515625" style="3" customWidth="1"/>
    <col min="11787" max="11787" width="12.42578125" style="3" customWidth="1"/>
    <col min="11788" max="11788" width="12" style="3" customWidth="1"/>
    <col min="11789" max="11789" width="12.42578125" style="3" customWidth="1"/>
    <col min="11790" max="11790" width="17" style="3" customWidth="1"/>
    <col min="11791" max="11791" width="15" style="3" customWidth="1"/>
    <col min="11792" max="12032" width="11.42578125" style="3"/>
    <col min="12033" max="12033" width="5.7109375" style="3" customWidth="1"/>
    <col min="12034" max="12034" width="40.42578125" style="3" customWidth="1"/>
    <col min="12035" max="12035" width="7.140625" style="3" customWidth="1"/>
    <col min="12036" max="12036" width="11" style="3" customWidth="1"/>
    <col min="12037" max="12037" width="10.28515625" style="3" customWidth="1"/>
    <col min="12038" max="12038" width="20.5703125" style="3" customWidth="1"/>
    <col min="12039" max="12039" width="20.85546875" style="3" customWidth="1"/>
    <col min="12040" max="12040" width="14.28515625" style="3" bestFit="1" customWidth="1"/>
    <col min="12041" max="12041" width="16.7109375" style="3" customWidth="1"/>
    <col min="12042" max="12042" width="17.28515625" style="3" customWidth="1"/>
    <col min="12043" max="12043" width="12.42578125" style="3" customWidth="1"/>
    <col min="12044" max="12044" width="12" style="3" customWidth="1"/>
    <col min="12045" max="12045" width="12.42578125" style="3" customWidth="1"/>
    <col min="12046" max="12046" width="17" style="3" customWidth="1"/>
    <col min="12047" max="12047" width="15" style="3" customWidth="1"/>
    <col min="12048" max="12288" width="11.42578125" style="3"/>
    <col min="12289" max="12289" width="5.7109375" style="3" customWidth="1"/>
    <col min="12290" max="12290" width="40.42578125" style="3" customWidth="1"/>
    <col min="12291" max="12291" width="7.140625" style="3" customWidth="1"/>
    <col min="12292" max="12292" width="11" style="3" customWidth="1"/>
    <col min="12293" max="12293" width="10.28515625" style="3" customWidth="1"/>
    <col min="12294" max="12294" width="20.5703125" style="3" customWidth="1"/>
    <col min="12295" max="12295" width="20.85546875" style="3" customWidth="1"/>
    <col min="12296" max="12296" width="14.28515625" style="3" bestFit="1" customWidth="1"/>
    <col min="12297" max="12297" width="16.7109375" style="3" customWidth="1"/>
    <col min="12298" max="12298" width="17.28515625" style="3" customWidth="1"/>
    <col min="12299" max="12299" width="12.42578125" style="3" customWidth="1"/>
    <col min="12300" max="12300" width="12" style="3" customWidth="1"/>
    <col min="12301" max="12301" width="12.42578125" style="3" customWidth="1"/>
    <col min="12302" max="12302" width="17" style="3" customWidth="1"/>
    <col min="12303" max="12303" width="15" style="3" customWidth="1"/>
    <col min="12304" max="12544" width="11.42578125" style="3"/>
    <col min="12545" max="12545" width="5.7109375" style="3" customWidth="1"/>
    <col min="12546" max="12546" width="40.42578125" style="3" customWidth="1"/>
    <col min="12547" max="12547" width="7.140625" style="3" customWidth="1"/>
    <col min="12548" max="12548" width="11" style="3" customWidth="1"/>
    <col min="12549" max="12549" width="10.28515625" style="3" customWidth="1"/>
    <col min="12550" max="12550" width="20.5703125" style="3" customWidth="1"/>
    <col min="12551" max="12551" width="20.85546875" style="3" customWidth="1"/>
    <col min="12552" max="12552" width="14.28515625" style="3" bestFit="1" customWidth="1"/>
    <col min="12553" max="12553" width="16.7109375" style="3" customWidth="1"/>
    <col min="12554" max="12554" width="17.28515625" style="3" customWidth="1"/>
    <col min="12555" max="12555" width="12.42578125" style="3" customWidth="1"/>
    <col min="12556" max="12556" width="12" style="3" customWidth="1"/>
    <col min="12557" max="12557" width="12.42578125" style="3" customWidth="1"/>
    <col min="12558" max="12558" width="17" style="3" customWidth="1"/>
    <col min="12559" max="12559" width="15" style="3" customWidth="1"/>
    <col min="12560" max="12800" width="11.42578125" style="3"/>
    <col min="12801" max="12801" width="5.7109375" style="3" customWidth="1"/>
    <col min="12802" max="12802" width="40.42578125" style="3" customWidth="1"/>
    <col min="12803" max="12803" width="7.140625" style="3" customWidth="1"/>
    <col min="12804" max="12804" width="11" style="3" customWidth="1"/>
    <col min="12805" max="12805" width="10.28515625" style="3" customWidth="1"/>
    <col min="12806" max="12806" width="20.5703125" style="3" customWidth="1"/>
    <col min="12807" max="12807" width="20.85546875" style="3" customWidth="1"/>
    <col min="12808" max="12808" width="14.28515625" style="3" bestFit="1" customWidth="1"/>
    <col min="12809" max="12809" width="16.7109375" style="3" customWidth="1"/>
    <col min="12810" max="12810" width="17.28515625" style="3" customWidth="1"/>
    <col min="12811" max="12811" width="12.42578125" style="3" customWidth="1"/>
    <col min="12812" max="12812" width="12" style="3" customWidth="1"/>
    <col min="12813" max="12813" width="12.42578125" style="3" customWidth="1"/>
    <col min="12814" max="12814" width="17" style="3" customWidth="1"/>
    <col min="12815" max="12815" width="15" style="3" customWidth="1"/>
    <col min="12816" max="13056" width="11.42578125" style="3"/>
    <col min="13057" max="13057" width="5.7109375" style="3" customWidth="1"/>
    <col min="13058" max="13058" width="40.42578125" style="3" customWidth="1"/>
    <col min="13059" max="13059" width="7.140625" style="3" customWidth="1"/>
    <col min="13060" max="13060" width="11" style="3" customWidth="1"/>
    <col min="13061" max="13061" width="10.28515625" style="3" customWidth="1"/>
    <col min="13062" max="13062" width="20.5703125" style="3" customWidth="1"/>
    <col min="13063" max="13063" width="20.85546875" style="3" customWidth="1"/>
    <col min="13064" max="13064" width="14.28515625" style="3" bestFit="1" customWidth="1"/>
    <col min="13065" max="13065" width="16.7109375" style="3" customWidth="1"/>
    <col min="13066" max="13066" width="17.28515625" style="3" customWidth="1"/>
    <col min="13067" max="13067" width="12.42578125" style="3" customWidth="1"/>
    <col min="13068" max="13068" width="12" style="3" customWidth="1"/>
    <col min="13069" max="13069" width="12.42578125" style="3" customWidth="1"/>
    <col min="13070" max="13070" width="17" style="3" customWidth="1"/>
    <col min="13071" max="13071" width="15" style="3" customWidth="1"/>
    <col min="13072" max="13312" width="11.42578125" style="3"/>
    <col min="13313" max="13313" width="5.7109375" style="3" customWidth="1"/>
    <col min="13314" max="13314" width="40.42578125" style="3" customWidth="1"/>
    <col min="13315" max="13315" width="7.140625" style="3" customWidth="1"/>
    <col min="13316" max="13316" width="11" style="3" customWidth="1"/>
    <col min="13317" max="13317" width="10.28515625" style="3" customWidth="1"/>
    <col min="13318" max="13318" width="20.5703125" style="3" customWidth="1"/>
    <col min="13319" max="13319" width="20.85546875" style="3" customWidth="1"/>
    <col min="13320" max="13320" width="14.28515625" style="3" bestFit="1" customWidth="1"/>
    <col min="13321" max="13321" width="16.7109375" style="3" customWidth="1"/>
    <col min="13322" max="13322" width="17.28515625" style="3" customWidth="1"/>
    <col min="13323" max="13323" width="12.42578125" style="3" customWidth="1"/>
    <col min="13324" max="13324" width="12" style="3" customWidth="1"/>
    <col min="13325" max="13325" width="12.42578125" style="3" customWidth="1"/>
    <col min="13326" max="13326" width="17" style="3" customWidth="1"/>
    <col min="13327" max="13327" width="15" style="3" customWidth="1"/>
    <col min="13328" max="13568" width="11.42578125" style="3"/>
    <col min="13569" max="13569" width="5.7109375" style="3" customWidth="1"/>
    <col min="13570" max="13570" width="40.42578125" style="3" customWidth="1"/>
    <col min="13571" max="13571" width="7.140625" style="3" customWidth="1"/>
    <col min="13572" max="13572" width="11" style="3" customWidth="1"/>
    <col min="13573" max="13573" width="10.28515625" style="3" customWidth="1"/>
    <col min="13574" max="13574" width="20.5703125" style="3" customWidth="1"/>
    <col min="13575" max="13575" width="20.85546875" style="3" customWidth="1"/>
    <col min="13576" max="13576" width="14.28515625" style="3" bestFit="1" customWidth="1"/>
    <col min="13577" max="13577" width="16.7109375" style="3" customWidth="1"/>
    <col min="13578" max="13578" width="17.28515625" style="3" customWidth="1"/>
    <col min="13579" max="13579" width="12.42578125" style="3" customWidth="1"/>
    <col min="13580" max="13580" width="12" style="3" customWidth="1"/>
    <col min="13581" max="13581" width="12.42578125" style="3" customWidth="1"/>
    <col min="13582" max="13582" width="17" style="3" customWidth="1"/>
    <col min="13583" max="13583" width="15" style="3" customWidth="1"/>
    <col min="13584" max="13824" width="11.42578125" style="3"/>
    <col min="13825" max="13825" width="5.7109375" style="3" customWidth="1"/>
    <col min="13826" max="13826" width="40.42578125" style="3" customWidth="1"/>
    <col min="13827" max="13827" width="7.140625" style="3" customWidth="1"/>
    <col min="13828" max="13828" width="11" style="3" customWidth="1"/>
    <col min="13829" max="13829" width="10.28515625" style="3" customWidth="1"/>
    <col min="13830" max="13830" width="20.5703125" style="3" customWidth="1"/>
    <col min="13831" max="13831" width="20.85546875" style="3" customWidth="1"/>
    <col min="13832" max="13832" width="14.28515625" style="3" bestFit="1" customWidth="1"/>
    <col min="13833" max="13833" width="16.7109375" style="3" customWidth="1"/>
    <col min="13834" max="13834" width="17.28515625" style="3" customWidth="1"/>
    <col min="13835" max="13835" width="12.42578125" style="3" customWidth="1"/>
    <col min="13836" max="13836" width="12" style="3" customWidth="1"/>
    <col min="13837" max="13837" width="12.42578125" style="3" customWidth="1"/>
    <col min="13838" max="13838" width="17" style="3" customWidth="1"/>
    <col min="13839" max="13839" width="15" style="3" customWidth="1"/>
    <col min="13840" max="14080" width="11.42578125" style="3"/>
    <col min="14081" max="14081" width="5.7109375" style="3" customWidth="1"/>
    <col min="14082" max="14082" width="40.42578125" style="3" customWidth="1"/>
    <col min="14083" max="14083" width="7.140625" style="3" customWidth="1"/>
    <col min="14084" max="14084" width="11" style="3" customWidth="1"/>
    <col min="14085" max="14085" width="10.28515625" style="3" customWidth="1"/>
    <col min="14086" max="14086" width="20.5703125" style="3" customWidth="1"/>
    <col min="14087" max="14087" width="20.85546875" style="3" customWidth="1"/>
    <col min="14088" max="14088" width="14.28515625" style="3" bestFit="1" customWidth="1"/>
    <col min="14089" max="14089" width="16.7109375" style="3" customWidth="1"/>
    <col min="14090" max="14090" width="17.28515625" style="3" customWidth="1"/>
    <col min="14091" max="14091" width="12.42578125" style="3" customWidth="1"/>
    <col min="14092" max="14092" width="12" style="3" customWidth="1"/>
    <col min="14093" max="14093" width="12.42578125" style="3" customWidth="1"/>
    <col min="14094" max="14094" width="17" style="3" customWidth="1"/>
    <col min="14095" max="14095" width="15" style="3" customWidth="1"/>
    <col min="14096" max="14336" width="11.42578125" style="3"/>
    <col min="14337" max="14337" width="5.7109375" style="3" customWidth="1"/>
    <col min="14338" max="14338" width="40.42578125" style="3" customWidth="1"/>
    <col min="14339" max="14339" width="7.140625" style="3" customWidth="1"/>
    <col min="14340" max="14340" width="11" style="3" customWidth="1"/>
    <col min="14341" max="14341" width="10.28515625" style="3" customWidth="1"/>
    <col min="14342" max="14342" width="20.5703125" style="3" customWidth="1"/>
    <col min="14343" max="14343" width="20.85546875" style="3" customWidth="1"/>
    <col min="14344" max="14344" width="14.28515625" style="3" bestFit="1" customWidth="1"/>
    <col min="14345" max="14345" width="16.7109375" style="3" customWidth="1"/>
    <col min="14346" max="14346" width="17.28515625" style="3" customWidth="1"/>
    <col min="14347" max="14347" width="12.42578125" style="3" customWidth="1"/>
    <col min="14348" max="14348" width="12" style="3" customWidth="1"/>
    <col min="14349" max="14349" width="12.42578125" style="3" customWidth="1"/>
    <col min="14350" max="14350" width="17" style="3" customWidth="1"/>
    <col min="14351" max="14351" width="15" style="3" customWidth="1"/>
    <col min="14352" max="14592" width="11.42578125" style="3"/>
    <col min="14593" max="14593" width="5.7109375" style="3" customWidth="1"/>
    <col min="14594" max="14594" width="40.42578125" style="3" customWidth="1"/>
    <col min="14595" max="14595" width="7.140625" style="3" customWidth="1"/>
    <col min="14596" max="14596" width="11" style="3" customWidth="1"/>
    <col min="14597" max="14597" width="10.28515625" style="3" customWidth="1"/>
    <col min="14598" max="14598" width="20.5703125" style="3" customWidth="1"/>
    <col min="14599" max="14599" width="20.85546875" style="3" customWidth="1"/>
    <col min="14600" max="14600" width="14.28515625" style="3" bestFit="1" customWidth="1"/>
    <col min="14601" max="14601" width="16.7109375" style="3" customWidth="1"/>
    <col min="14602" max="14602" width="17.28515625" style="3" customWidth="1"/>
    <col min="14603" max="14603" width="12.42578125" style="3" customWidth="1"/>
    <col min="14604" max="14604" width="12" style="3" customWidth="1"/>
    <col min="14605" max="14605" width="12.42578125" style="3" customWidth="1"/>
    <col min="14606" max="14606" width="17" style="3" customWidth="1"/>
    <col min="14607" max="14607" width="15" style="3" customWidth="1"/>
    <col min="14608" max="14848" width="11.42578125" style="3"/>
    <col min="14849" max="14849" width="5.7109375" style="3" customWidth="1"/>
    <col min="14850" max="14850" width="40.42578125" style="3" customWidth="1"/>
    <col min="14851" max="14851" width="7.140625" style="3" customWidth="1"/>
    <col min="14852" max="14852" width="11" style="3" customWidth="1"/>
    <col min="14853" max="14853" width="10.28515625" style="3" customWidth="1"/>
    <col min="14854" max="14854" width="20.5703125" style="3" customWidth="1"/>
    <col min="14855" max="14855" width="20.85546875" style="3" customWidth="1"/>
    <col min="14856" max="14856" width="14.28515625" style="3" bestFit="1" customWidth="1"/>
    <col min="14857" max="14857" width="16.7109375" style="3" customWidth="1"/>
    <col min="14858" max="14858" width="17.28515625" style="3" customWidth="1"/>
    <col min="14859" max="14859" width="12.42578125" style="3" customWidth="1"/>
    <col min="14860" max="14860" width="12" style="3" customWidth="1"/>
    <col min="14861" max="14861" width="12.42578125" style="3" customWidth="1"/>
    <col min="14862" max="14862" width="17" style="3" customWidth="1"/>
    <col min="14863" max="14863" width="15" style="3" customWidth="1"/>
    <col min="14864" max="15104" width="11.42578125" style="3"/>
    <col min="15105" max="15105" width="5.7109375" style="3" customWidth="1"/>
    <col min="15106" max="15106" width="40.42578125" style="3" customWidth="1"/>
    <col min="15107" max="15107" width="7.140625" style="3" customWidth="1"/>
    <col min="15108" max="15108" width="11" style="3" customWidth="1"/>
    <col min="15109" max="15109" width="10.28515625" style="3" customWidth="1"/>
    <col min="15110" max="15110" width="20.5703125" style="3" customWidth="1"/>
    <col min="15111" max="15111" width="20.85546875" style="3" customWidth="1"/>
    <col min="15112" max="15112" width="14.28515625" style="3" bestFit="1" customWidth="1"/>
    <col min="15113" max="15113" width="16.7109375" style="3" customWidth="1"/>
    <col min="15114" max="15114" width="17.28515625" style="3" customWidth="1"/>
    <col min="15115" max="15115" width="12.42578125" style="3" customWidth="1"/>
    <col min="15116" max="15116" width="12" style="3" customWidth="1"/>
    <col min="15117" max="15117" width="12.42578125" style="3" customWidth="1"/>
    <col min="15118" max="15118" width="17" style="3" customWidth="1"/>
    <col min="15119" max="15119" width="15" style="3" customWidth="1"/>
    <col min="15120" max="15360" width="11.42578125" style="3"/>
    <col min="15361" max="15361" width="5.7109375" style="3" customWidth="1"/>
    <col min="15362" max="15362" width="40.42578125" style="3" customWidth="1"/>
    <col min="15363" max="15363" width="7.140625" style="3" customWidth="1"/>
    <col min="15364" max="15364" width="11" style="3" customWidth="1"/>
    <col min="15365" max="15365" width="10.28515625" style="3" customWidth="1"/>
    <col min="15366" max="15366" width="20.5703125" style="3" customWidth="1"/>
    <col min="15367" max="15367" width="20.85546875" style="3" customWidth="1"/>
    <col min="15368" max="15368" width="14.28515625" style="3" bestFit="1" customWidth="1"/>
    <col min="15369" max="15369" width="16.7109375" style="3" customWidth="1"/>
    <col min="15370" max="15370" width="17.28515625" style="3" customWidth="1"/>
    <col min="15371" max="15371" width="12.42578125" style="3" customWidth="1"/>
    <col min="15372" max="15372" width="12" style="3" customWidth="1"/>
    <col min="15373" max="15373" width="12.42578125" style="3" customWidth="1"/>
    <col min="15374" max="15374" width="17" style="3" customWidth="1"/>
    <col min="15375" max="15375" width="15" style="3" customWidth="1"/>
    <col min="15376" max="15616" width="11.42578125" style="3"/>
    <col min="15617" max="15617" width="5.7109375" style="3" customWidth="1"/>
    <col min="15618" max="15618" width="40.42578125" style="3" customWidth="1"/>
    <col min="15619" max="15619" width="7.140625" style="3" customWidth="1"/>
    <col min="15620" max="15620" width="11" style="3" customWidth="1"/>
    <col min="15621" max="15621" width="10.28515625" style="3" customWidth="1"/>
    <col min="15622" max="15622" width="20.5703125" style="3" customWidth="1"/>
    <col min="15623" max="15623" width="20.85546875" style="3" customWidth="1"/>
    <col min="15624" max="15624" width="14.28515625" style="3" bestFit="1" customWidth="1"/>
    <col min="15625" max="15625" width="16.7109375" style="3" customWidth="1"/>
    <col min="15626" max="15626" width="17.28515625" style="3" customWidth="1"/>
    <col min="15627" max="15627" width="12.42578125" style="3" customWidth="1"/>
    <col min="15628" max="15628" width="12" style="3" customWidth="1"/>
    <col min="15629" max="15629" width="12.42578125" style="3" customWidth="1"/>
    <col min="15630" max="15630" width="17" style="3" customWidth="1"/>
    <col min="15631" max="15631" width="15" style="3" customWidth="1"/>
    <col min="15632" max="15872" width="11.42578125" style="3"/>
    <col min="15873" max="15873" width="5.7109375" style="3" customWidth="1"/>
    <col min="15874" max="15874" width="40.42578125" style="3" customWidth="1"/>
    <col min="15875" max="15875" width="7.140625" style="3" customWidth="1"/>
    <col min="15876" max="15876" width="11" style="3" customWidth="1"/>
    <col min="15877" max="15877" width="10.28515625" style="3" customWidth="1"/>
    <col min="15878" max="15878" width="20.5703125" style="3" customWidth="1"/>
    <col min="15879" max="15879" width="20.85546875" style="3" customWidth="1"/>
    <col min="15880" max="15880" width="14.28515625" style="3" bestFit="1" customWidth="1"/>
    <col min="15881" max="15881" width="16.7109375" style="3" customWidth="1"/>
    <col min="15882" max="15882" width="17.28515625" style="3" customWidth="1"/>
    <col min="15883" max="15883" width="12.42578125" style="3" customWidth="1"/>
    <col min="15884" max="15884" width="12" style="3" customWidth="1"/>
    <col min="15885" max="15885" width="12.42578125" style="3" customWidth="1"/>
    <col min="15886" max="15886" width="17" style="3" customWidth="1"/>
    <col min="15887" max="15887" width="15" style="3" customWidth="1"/>
    <col min="15888" max="16128" width="11.42578125" style="3"/>
    <col min="16129" max="16129" width="5.7109375" style="3" customWidth="1"/>
    <col min="16130" max="16130" width="40.42578125" style="3" customWidth="1"/>
    <col min="16131" max="16131" width="7.140625" style="3" customWidth="1"/>
    <col min="16132" max="16132" width="11" style="3" customWidth="1"/>
    <col min="16133" max="16133" width="10.28515625" style="3" customWidth="1"/>
    <col min="16134" max="16134" width="20.5703125" style="3" customWidth="1"/>
    <col min="16135" max="16135" width="20.85546875" style="3" customWidth="1"/>
    <col min="16136" max="16136" width="14.28515625" style="3" bestFit="1" customWidth="1"/>
    <col min="16137" max="16137" width="16.7109375" style="3" customWidth="1"/>
    <col min="16138" max="16138" width="17.28515625" style="3" customWidth="1"/>
    <col min="16139" max="16139" width="12.42578125" style="3" customWidth="1"/>
    <col min="16140" max="16140" width="12" style="3" customWidth="1"/>
    <col min="16141" max="16141" width="12.42578125" style="3" customWidth="1"/>
    <col min="16142" max="16142" width="17" style="3" customWidth="1"/>
    <col min="16143" max="16143" width="15" style="3" customWidth="1"/>
    <col min="16144" max="16384" width="11.42578125" style="3"/>
  </cols>
  <sheetData>
    <row r="1" spans="1:13" ht="16.5" thickBot="1" x14ac:dyDescent="0.3">
      <c r="A1" s="207" t="s">
        <v>103</v>
      </c>
      <c r="B1" s="207"/>
      <c r="C1" s="207"/>
      <c r="D1" s="207"/>
      <c r="E1" s="207"/>
      <c r="F1" s="207"/>
      <c r="G1" s="207"/>
      <c r="H1" s="207"/>
      <c r="I1" s="207"/>
      <c r="J1" s="207"/>
      <c r="L1" s="5"/>
    </row>
    <row r="2" spans="1:13" ht="16.5" thickBot="1" x14ac:dyDescent="0.3">
      <c r="A2" s="123"/>
      <c r="B2" s="124"/>
      <c r="C2" s="125"/>
      <c r="D2" s="123"/>
      <c r="E2" s="5"/>
      <c r="F2" s="126"/>
      <c r="G2" s="158" t="s">
        <v>108</v>
      </c>
      <c r="H2" s="212" t="s">
        <v>109</v>
      </c>
      <c r="I2" s="212"/>
      <c r="J2" s="212"/>
      <c r="K2" s="5" t="s">
        <v>99</v>
      </c>
      <c r="L2" s="17" t="s">
        <v>163</v>
      </c>
    </row>
    <row r="3" spans="1:13" ht="16.5" hidden="1" thickBot="1" x14ac:dyDescent="0.3">
      <c r="A3" s="210"/>
      <c r="B3" s="213" t="s">
        <v>1</v>
      </c>
      <c r="C3" s="208" t="s">
        <v>2</v>
      </c>
      <c r="D3" s="213" t="s">
        <v>4</v>
      </c>
      <c r="E3" s="208" t="s">
        <v>3</v>
      </c>
      <c r="F3" s="214" t="s">
        <v>5</v>
      </c>
      <c r="G3" s="215"/>
      <c r="H3" s="208" t="s">
        <v>3</v>
      </c>
      <c r="I3" s="210" t="s">
        <v>5</v>
      </c>
      <c r="J3" s="211"/>
    </row>
    <row r="4" spans="1:13" ht="16.5" hidden="1" thickBot="1" x14ac:dyDescent="0.3">
      <c r="A4" s="210"/>
      <c r="B4" s="214"/>
      <c r="C4" s="209"/>
      <c r="D4" s="214"/>
      <c r="E4" s="209"/>
      <c r="F4" s="31" t="s">
        <v>6</v>
      </c>
      <c r="G4" s="32" t="s">
        <v>23</v>
      </c>
      <c r="H4" s="209"/>
      <c r="I4" s="32" t="s">
        <v>6</v>
      </c>
      <c r="J4" s="32" t="s">
        <v>23</v>
      </c>
      <c r="M4" s="3" t="s">
        <v>100</v>
      </c>
    </row>
    <row r="5" spans="1:13" ht="16.5" hidden="1" thickBot="1" x14ac:dyDescent="0.3">
      <c r="A5" s="158"/>
      <c r="B5" s="158"/>
      <c r="C5" s="149"/>
      <c r="D5" s="158"/>
      <c r="E5" s="160"/>
      <c r="F5" s="128"/>
      <c r="G5" s="161"/>
      <c r="H5" s="160"/>
      <c r="I5" s="128"/>
      <c r="J5" s="161"/>
    </row>
    <row r="6" spans="1:13" x14ac:dyDescent="0.25">
      <c r="A6" s="33">
        <v>1</v>
      </c>
      <c r="B6" s="34" t="s">
        <v>124</v>
      </c>
      <c r="C6" s="35"/>
      <c r="D6" s="29"/>
      <c r="E6" s="35"/>
      <c r="F6" s="34"/>
      <c r="G6" s="106">
        <f>SUM(F7:F9)</f>
        <v>402</v>
      </c>
      <c r="H6" s="105"/>
      <c r="I6" s="56"/>
      <c r="J6" s="106">
        <f>SUM(I7:I9)</f>
        <v>402</v>
      </c>
      <c r="L6" s="97">
        <f>+G6-J6</f>
        <v>0</v>
      </c>
      <c r="M6" s="37">
        <f>+L6/J6</f>
        <v>0</v>
      </c>
    </row>
    <row r="7" spans="1:13" hidden="1" outlineLevel="1" x14ac:dyDescent="0.25">
      <c r="A7" s="113">
        <v>1.1000000000000001</v>
      </c>
      <c r="B7" s="38" t="s">
        <v>42</v>
      </c>
      <c r="C7" s="29" t="s">
        <v>43</v>
      </c>
      <c r="D7" s="29">
        <v>250</v>
      </c>
      <c r="E7" s="40">
        <v>1</v>
      </c>
      <c r="F7" s="114">
        <f>+$D7*E7</f>
        <v>250</v>
      </c>
      <c r="G7" s="104"/>
      <c r="H7" s="104">
        <v>1</v>
      </c>
      <c r="I7" s="129">
        <f>+$D7*H7</f>
        <v>250</v>
      </c>
      <c r="J7" s="104"/>
      <c r="K7" s="1">
        <f>+F7-I7</f>
        <v>0</v>
      </c>
      <c r="L7" s="97"/>
      <c r="M7" s="37"/>
    </row>
    <row r="8" spans="1:13" hidden="1" outlineLevel="1" x14ac:dyDescent="0.25">
      <c r="A8" s="113">
        <v>1.2</v>
      </c>
      <c r="B8" s="38" t="s">
        <v>44</v>
      </c>
      <c r="C8" s="113" t="s">
        <v>9</v>
      </c>
      <c r="D8" s="115">
        <f>2.1-0.45</f>
        <v>1.6500000000000001</v>
      </c>
      <c r="E8" s="116">
        <v>80</v>
      </c>
      <c r="F8" s="114">
        <f>+$D8*E8</f>
        <v>132</v>
      </c>
      <c r="G8" s="129"/>
      <c r="H8" s="129">
        <v>80</v>
      </c>
      <c r="I8" s="129">
        <f>+$D8*H8</f>
        <v>132</v>
      </c>
      <c r="J8" s="129"/>
      <c r="K8" s="1">
        <f t="shared" ref="K8:K65" si="0">+F8-I8</f>
        <v>0</v>
      </c>
      <c r="L8" s="97"/>
      <c r="M8" s="37"/>
    </row>
    <row r="9" spans="1:13" hidden="1" outlineLevel="1" x14ac:dyDescent="0.25">
      <c r="A9" s="113">
        <v>1.3</v>
      </c>
      <c r="B9" s="38" t="s">
        <v>45</v>
      </c>
      <c r="C9" s="113" t="s">
        <v>9</v>
      </c>
      <c r="D9" s="115">
        <v>0.25</v>
      </c>
      <c r="E9" s="116">
        <v>80</v>
      </c>
      <c r="F9" s="114">
        <f>+$D9*E9</f>
        <v>20</v>
      </c>
      <c r="G9" s="129"/>
      <c r="H9" s="129">
        <v>80</v>
      </c>
      <c r="I9" s="129">
        <f>+$D9*H9</f>
        <v>20</v>
      </c>
      <c r="J9" s="129"/>
      <c r="K9" s="1">
        <f t="shared" si="0"/>
        <v>0</v>
      </c>
      <c r="L9" s="97"/>
      <c r="M9" s="37"/>
    </row>
    <row r="10" spans="1:13" collapsed="1" x14ac:dyDescent="0.25">
      <c r="A10" s="33">
        <v>2</v>
      </c>
      <c r="B10" s="34" t="s">
        <v>125</v>
      </c>
      <c r="C10" s="35"/>
      <c r="D10" s="29"/>
      <c r="E10" s="29"/>
      <c r="F10" s="40"/>
      <c r="G10" s="106">
        <f>SUM(F11:F13)</f>
        <v>108.45</v>
      </c>
      <c r="H10" s="130"/>
      <c r="I10" s="104"/>
      <c r="J10" s="106">
        <f>SUM(I11:I13)</f>
        <v>231.291</v>
      </c>
      <c r="K10" s="36"/>
      <c r="L10" s="104">
        <f>+G10-J10</f>
        <v>-122.84099999999999</v>
      </c>
      <c r="M10" s="37">
        <f>+L10/J10</f>
        <v>-0.53111015992840183</v>
      </c>
    </row>
    <row r="11" spans="1:13" hidden="1" outlineLevel="1" x14ac:dyDescent="0.25">
      <c r="A11" s="113">
        <v>2.1</v>
      </c>
      <c r="B11" s="38" t="s">
        <v>48</v>
      </c>
      <c r="C11" s="113" t="s">
        <v>11</v>
      </c>
      <c r="D11" s="113">
        <v>1.5</v>
      </c>
      <c r="E11" s="116">
        <v>12.3</v>
      </c>
      <c r="F11" s="114">
        <f>+D11*E11</f>
        <v>18.450000000000003</v>
      </c>
      <c r="G11" s="129"/>
      <c r="H11" s="129">
        <v>12.3</v>
      </c>
      <c r="I11" s="129">
        <f>+$D11*H11</f>
        <v>18.450000000000003</v>
      </c>
      <c r="J11" s="129"/>
      <c r="K11" s="36">
        <f t="shared" si="0"/>
        <v>0</v>
      </c>
      <c r="L11" s="97"/>
      <c r="M11" s="37"/>
    </row>
    <row r="12" spans="1:13" ht="15" hidden="1" customHeight="1" outlineLevel="1" x14ac:dyDescent="0.25">
      <c r="A12" s="113">
        <v>2.2000000000000002</v>
      </c>
      <c r="B12" s="38" t="s">
        <v>46</v>
      </c>
      <c r="C12" s="113" t="s">
        <v>11</v>
      </c>
      <c r="D12" s="113">
        <v>2.67</v>
      </c>
      <c r="E12" s="116">
        <v>0</v>
      </c>
      <c r="F12" s="114">
        <f>+D12*E12</f>
        <v>0</v>
      </c>
      <c r="G12" s="129"/>
      <c r="H12" s="129">
        <v>12.3</v>
      </c>
      <c r="I12" s="129">
        <f t="shared" ref="I12:I23" si="1">+$D12*H12</f>
        <v>32.841000000000001</v>
      </c>
      <c r="J12" s="129"/>
      <c r="K12" s="36">
        <f t="shared" si="0"/>
        <v>-32.841000000000001</v>
      </c>
      <c r="L12" s="97"/>
      <c r="M12" s="37"/>
    </row>
    <row r="13" spans="1:13" hidden="1" outlineLevel="1" x14ac:dyDescent="0.25">
      <c r="A13" s="29">
        <v>2.2999999999999998</v>
      </c>
      <c r="B13" s="35" t="s">
        <v>47</v>
      </c>
      <c r="C13" s="29" t="s">
        <v>13</v>
      </c>
      <c r="D13" s="29">
        <v>90</v>
      </c>
      <c r="E13" s="40">
        <v>1</v>
      </c>
      <c r="F13" s="114">
        <f>+D13*E13</f>
        <v>90</v>
      </c>
      <c r="G13" s="104"/>
      <c r="H13" s="104">
        <v>2</v>
      </c>
      <c r="I13" s="129">
        <f t="shared" si="1"/>
        <v>180</v>
      </c>
      <c r="J13" s="104"/>
      <c r="K13" s="36">
        <f t="shared" si="0"/>
        <v>-90</v>
      </c>
      <c r="L13" s="97"/>
      <c r="M13" s="37"/>
    </row>
    <row r="14" spans="1:13" collapsed="1" x14ac:dyDescent="0.25">
      <c r="A14" s="33">
        <v>3</v>
      </c>
      <c r="B14" s="34" t="s">
        <v>126</v>
      </c>
      <c r="C14" s="35"/>
      <c r="D14" s="29"/>
      <c r="E14" s="35"/>
      <c r="F14" s="29"/>
      <c r="G14" s="106">
        <f>SUM(F15:F23)</f>
        <v>2240.6967000000004</v>
      </c>
      <c r="H14" s="105"/>
      <c r="I14" s="130"/>
      <c r="J14" s="106">
        <f>SUM(I15:I23)</f>
        <v>3581.2685000000006</v>
      </c>
      <c r="K14" s="36"/>
      <c r="L14" s="104">
        <f>+G14-J14</f>
        <v>-1340.5718000000002</v>
      </c>
      <c r="M14" s="37">
        <f>+L14/J14</f>
        <v>-0.374328760884586</v>
      </c>
    </row>
    <row r="15" spans="1:13" hidden="1" outlineLevel="1" x14ac:dyDescent="0.25">
      <c r="A15" s="113">
        <v>3.1</v>
      </c>
      <c r="B15" s="41" t="s">
        <v>55</v>
      </c>
      <c r="C15" s="118" t="s">
        <v>11</v>
      </c>
      <c r="D15" s="115">
        <v>72.86</v>
      </c>
      <c r="E15" s="117">
        <v>0</v>
      </c>
      <c r="F15" s="114">
        <f t="shared" ref="F15:F23" si="2">+D15*E15</f>
        <v>0</v>
      </c>
      <c r="G15" s="129"/>
      <c r="H15" s="129">
        <v>4.88</v>
      </c>
      <c r="I15" s="129">
        <f t="shared" si="1"/>
        <v>355.55680000000001</v>
      </c>
      <c r="J15" s="129"/>
      <c r="K15" s="36">
        <f t="shared" si="0"/>
        <v>-355.55680000000001</v>
      </c>
      <c r="L15" s="97"/>
      <c r="M15" s="37"/>
    </row>
    <row r="16" spans="1:13" hidden="1" outlineLevel="1" x14ac:dyDescent="0.25">
      <c r="A16" s="113">
        <v>3.2</v>
      </c>
      <c r="B16" s="42" t="s">
        <v>49</v>
      </c>
      <c r="C16" s="113" t="s">
        <v>11</v>
      </c>
      <c r="D16" s="115">
        <v>95.7</v>
      </c>
      <c r="E16" s="117">
        <v>0</v>
      </c>
      <c r="F16" s="114">
        <f t="shared" si="2"/>
        <v>0</v>
      </c>
      <c r="G16" s="129"/>
      <c r="H16" s="129">
        <v>1.22</v>
      </c>
      <c r="I16" s="129">
        <f t="shared" si="1"/>
        <v>116.754</v>
      </c>
      <c r="J16" s="129"/>
      <c r="K16" s="36">
        <f t="shared" si="0"/>
        <v>-116.754</v>
      </c>
      <c r="L16" s="97"/>
      <c r="M16" s="37"/>
    </row>
    <row r="17" spans="1:13" ht="31.5" hidden="1" outlineLevel="1" x14ac:dyDescent="0.25">
      <c r="A17" s="113">
        <v>3.3</v>
      </c>
      <c r="B17" s="42" t="s">
        <v>54</v>
      </c>
      <c r="C17" s="113" t="s">
        <v>12</v>
      </c>
      <c r="D17" s="115">
        <v>1.27</v>
      </c>
      <c r="E17" s="114">
        <v>448.66</v>
      </c>
      <c r="F17" s="114">
        <f t="shared" si="2"/>
        <v>569.79820000000007</v>
      </c>
      <c r="G17" s="129"/>
      <c r="H17" s="129">
        <v>448.66</v>
      </c>
      <c r="I17" s="129">
        <f t="shared" si="1"/>
        <v>569.79820000000007</v>
      </c>
      <c r="J17" s="129"/>
      <c r="K17" s="36">
        <f t="shared" si="0"/>
        <v>0</v>
      </c>
      <c r="L17" s="97"/>
      <c r="M17" s="37"/>
    </row>
    <row r="18" spans="1:13" ht="12" hidden="1" customHeight="1" outlineLevel="1" x14ac:dyDescent="0.25">
      <c r="A18" s="113">
        <v>3.4</v>
      </c>
      <c r="B18" s="42" t="s">
        <v>51</v>
      </c>
      <c r="C18" s="113" t="s">
        <v>11</v>
      </c>
      <c r="D18" s="115">
        <v>106.42</v>
      </c>
      <c r="E18" s="114">
        <v>5.89</v>
      </c>
      <c r="F18" s="114">
        <f t="shared" si="2"/>
        <v>626.81380000000001</v>
      </c>
      <c r="G18" s="129"/>
      <c r="H18" s="129">
        <v>5.89</v>
      </c>
      <c r="I18" s="129">
        <f t="shared" si="1"/>
        <v>626.81380000000001</v>
      </c>
      <c r="J18" s="129"/>
      <c r="K18" s="36">
        <f t="shared" si="0"/>
        <v>0</v>
      </c>
      <c r="L18" s="97"/>
      <c r="M18" s="37"/>
    </row>
    <row r="19" spans="1:13" hidden="1" outlineLevel="1" x14ac:dyDescent="0.25">
      <c r="A19" s="113">
        <v>3.5</v>
      </c>
      <c r="B19" s="42" t="s">
        <v>52</v>
      </c>
      <c r="C19" s="113" t="s">
        <v>11</v>
      </c>
      <c r="D19" s="115">
        <v>106.42</v>
      </c>
      <c r="E19" s="114">
        <f>60.35*0.1</f>
        <v>6.0350000000000001</v>
      </c>
      <c r="F19" s="114">
        <f t="shared" si="2"/>
        <v>642.24470000000008</v>
      </c>
      <c r="G19" s="129"/>
      <c r="H19" s="129">
        <v>6.04</v>
      </c>
      <c r="I19" s="129">
        <f t="shared" si="1"/>
        <v>642.77679999999998</v>
      </c>
      <c r="J19" s="129"/>
      <c r="K19" s="36">
        <f t="shared" si="0"/>
        <v>-0.53209999999990032</v>
      </c>
      <c r="L19" s="97"/>
      <c r="M19" s="37"/>
    </row>
    <row r="20" spans="1:13" hidden="1" outlineLevel="1" x14ac:dyDescent="0.25">
      <c r="A20" s="119">
        <v>3.6</v>
      </c>
      <c r="B20" s="42" t="s">
        <v>50</v>
      </c>
      <c r="C20" s="113" t="s">
        <v>9</v>
      </c>
      <c r="D20" s="115">
        <v>4.33</v>
      </c>
      <c r="E20" s="114">
        <v>80</v>
      </c>
      <c r="F20" s="114">
        <f t="shared" si="2"/>
        <v>346.4</v>
      </c>
      <c r="G20" s="129"/>
      <c r="H20" s="129">
        <v>80</v>
      </c>
      <c r="I20" s="129">
        <f t="shared" si="1"/>
        <v>346.4</v>
      </c>
      <c r="J20" s="129"/>
      <c r="K20" s="36">
        <f t="shared" si="0"/>
        <v>0</v>
      </c>
      <c r="L20" s="97"/>
      <c r="M20" s="37"/>
    </row>
    <row r="21" spans="1:13" hidden="1" outlineLevel="1" x14ac:dyDescent="0.25">
      <c r="A21" s="119">
        <v>3.7</v>
      </c>
      <c r="B21" s="42" t="s">
        <v>53</v>
      </c>
      <c r="C21" s="113" t="s">
        <v>14</v>
      </c>
      <c r="D21" s="115">
        <v>1.54</v>
      </c>
      <c r="E21" s="114">
        <v>36</v>
      </c>
      <c r="F21" s="114">
        <f t="shared" si="2"/>
        <v>55.44</v>
      </c>
      <c r="G21" s="129"/>
      <c r="H21" s="129">
        <v>36</v>
      </c>
      <c r="I21" s="129">
        <f t="shared" si="1"/>
        <v>55.44</v>
      </c>
      <c r="J21" s="129"/>
      <c r="K21" s="36">
        <f t="shared" si="0"/>
        <v>0</v>
      </c>
      <c r="L21" s="97"/>
      <c r="M21" s="37"/>
    </row>
    <row r="22" spans="1:13" hidden="1" outlineLevel="1" x14ac:dyDescent="0.25">
      <c r="A22" s="119">
        <v>3.8</v>
      </c>
      <c r="B22" s="42" t="s">
        <v>56</v>
      </c>
      <c r="C22" s="113" t="s">
        <v>12</v>
      </c>
      <c r="D22" s="115">
        <v>1.27</v>
      </c>
      <c r="E22" s="114">
        <v>0</v>
      </c>
      <c r="F22" s="114">
        <f t="shared" si="2"/>
        <v>0</v>
      </c>
      <c r="G22" s="129"/>
      <c r="H22" s="129">
        <v>258.32</v>
      </c>
      <c r="I22" s="129">
        <f t="shared" si="1"/>
        <v>328.06639999999999</v>
      </c>
      <c r="J22" s="129"/>
      <c r="K22" s="36">
        <f t="shared" si="0"/>
        <v>-328.06639999999999</v>
      </c>
      <c r="L22" s="97"/>
      <c r="M22" s="37"/>
    </row>
    <row r="23" spans="1:13" hidden="1" outlineLevel="1" x14ac:dyDescent="0.25">
      <c r="A23" s="119">
        <v>3.9</v>
      </c>
      <c r="B23" s="42" t="s">
        <v>57</v>
      </c>
      <c r="C23" s="113" t="s">
        <v>11</v>
      </c>
      <c r="D23" s="115">
        <f>+D19+47.33</f>
        <v>153.75</v>
      </c>
      <c r="E23" s="114">
        <v>0</v>
      </c>
      <c r="F23" s="114">
        <f t="shared" si="2"/>
        <v>0</v>
      </c>
      <c r="G23" s="129"/>
      <c r="H23" s="129">
        <f>+(1.35*2.6)</f>
        <v>3.5100000000000002</v>
      </c>
      <c r="I23" s="129">
        <f t="shared" si="1"/>
        <v>539.66250000000002</v>
      </c>
      <c r="J23" s="129"/>
      <c r="K23" s="36">
        <f t="shared" si="0"/>
        <v>-539.66250000000002</v>
      </c>
      <c r="L23" s="97"/>
      <c r="M23" s="37"/>
    </row>
    <row r="24" spans="1:13" collapsed="1" x14ac:dyDescent="0.25">
      <c r="A24" s="33">
        <v>4</v>
      </c>
      <c r="B24" s="34" t="s">
        <v>127</v>
      </c>
      <c r="C24" s="35"/>
      <c r="D24" s="29"/>
      <c r="E24" s="35"/>
      <c r="F24" s="35"/>
      <c r="G24" s="106">
        <f>SUM(F25:F29)</f>
        <v>2745.0326000000005</v>
      </c>
      <c r="H24" s="105"/>
      <c r="I24" s="105"/>
      <c r="J24" s="106">
        <f>SUM(I25:I29)</f>
        <v>881.79960000000017</v>
      </c>
      <c r="K24" s="36"/>
      <c r="L24" s="105">
        <f>+G24-J24</f>
        <v>1863.2330000000002</v>
      </c>
      <c r="M24" s="37">
        <f>+L24/G24</f>
        <v>0.67876534508187625</v>
      </c>
    </row>
    <row r="25" spans="1:13" hidden="1" outlineLevel="1" x14ac:dyDescent="0.25">
      <c r="A25" s="113">
        <v>4.0999999999999996</v>
      </c>
      <c r="B25" s="38" t="s">
        <v>15</v>
      </c>
      <c r="C25" s="113" t="s">
        <v>9</v>
      </c>
      <c r="D25" s="115">
        <v>5.6922000000000015</v>
      </c>
      <c r="E25" s="114">
        <v>0</v>
      </c>
      <c r="F25" s="114">
        <f>+D25*E25</f>
        <v>0</v>
      </c>
      <c r="G25" s="129"/>
      <c r="H25" s="129">
        <v>38</v>
      </c>
      <c r="I25" s="129">
        <f t="shared" ref="I25:I62" si="3">+$D25*H25</f>
        <v>216.30360000000005</v>
      </c>
      <c r="J25" s="129"/>
      <c r="K25" s="36">
        <f t="shared" si="0"/>
        <v>-216.30360000000005</v>
      </c>
      <c r="L25" s="97"/>
      <c r="M25" s="37"/>
    </row>
    <row r="26" spans="1:13" hidden="1" outlineLevel="1" x14ac:dyDescent="0.25">
      <c r="A26" s="113">
        <v>4.2</v>
      </c>
      <c r="B26" s="38" t="s">
        <v>16</v>
      </c>
      <c r="C26" s="113" t="s">
        <v>9</v>
      </c>
      <c r="D26" s="115">
        <v>9.48</v>
      </c>
      <c r="E26" s="114">
        <v>0</v>
      </c>
      <c r="F26" s="114">
        <f>+D26*E26</f>
        <v>0</v>
      </c>
      <c r="G26" s="129"/>
      <c r="H26" s="129">
        <v>70.2</v>
      </c>
      <c r="I26" s="129">
        <f t="shared" si="3"/>
        <v>665.49600000000009</v>
      </c>
      <c r="J26" s="129"/>
      <c r="K26" s="36">
        <f t="shared" si="0"/>
        <v>-665.49600000000009</v>
      </c>
      <c r="L26" s="97"/>
      <c r="M26" s="37"/>
    </row>
    <row r="27" spans="1:13" hidden="1" outlineLevel="1" x14ac:dyDescent="0.25">
      <c r="A27" s="113">
        <v>4.3</v>
      </c>
      <c r="B27" s="38" t="s">
        <v>90</v>
      </c>
      <c r="C27" s="113" t="s">
        <v>9</v>
      </c>
      <c r="D27" s="115">
        <v>20.73</v>
      </c>
      <c r="E27" s="114">
        <v>106.62</v>
      </c>
      <c r="F27" s="114">
        <f>+D27*E27</f>
        <v>2210.2326000000003</v>
      </c>
      <c r="G27" s="129"/>
      <c r="H27" s="129">
        <v>0</v>
      </c>
      <c r="I27" s="129">
        <f t="shared" si="3"/>
        <v>0</v>
      </c>
      <c r="J27" s="129"/>
      <c r="K27" s="36">
        <f t="shared" si="0"/>
        <v>2210.2326000000003</v>
      </c>
      <c r="L27" s="97"/>
      <c r="M27" s="37"/>
    </row>
    <row r="28" spans="1:13" hidden="1" outlineLevel="1" x14ac:dyDescent="0.25">
      <c r="A28" s="113">
        <v>4.4000000000000004</v>
      </c>
      <c r="B28" s="38" t="s">
        <v>97</v>
      </c>
      <c r="C28" s="113" t="s">
        <v>12</v>
      </c>
      <c r="D28" s="115">
        <v>1.04</v>
      </c>
      <c r="E28" s="114">
        <v>370</v>
      </c>
      <c r="F28" s="114">
        <f>+D28*E28</f>
        <v>384.8</v>
      </c>
      <c r="G28" s="129"/>
      <c r="H28" s="129">
        <v>0</v>
      </c>
      <c r="I28" s="129">
        <f t="shared" si="3"/>
        <v>0</v>
      </c>
      <c r="J28" s="129"/>
      <c r="K28" s="36">
        <f t="shared" si="0"/>
        <v>384.8</v>
      </c>
      <c r="L28" s="97"/>
      <c r="M28" s="37"/>
    </row>
    <row r="29" spans="1:13" hidden="1" outlineLevel="1" x14ac:dyDescent="0.25">
      <c r="A29" s="29">
        <v>4.5</v>
      </c>
      <c r="B29" s="35" t="s">
        <v>98</v>
      </c>
      <c r="C29" s="29" t="s">
        <v>13</v>
      </c>
      <c r="D29" s="29">
        <v>1</v>
      </c>
      <c r="E29" s="40">
        <v>150</v>
      </c>
      <c r="F29" s="114">
        <f>+D29*E29</f>
        <v>150</v>
      </c>
      <c r="G29" s="104"/>
      <c r="H29" s="104">
        <v>0</v>
      </c>
      <c r="I29" s="129">
        <f t="shared" si="3"/>
        <v>0</v>
      </c>
      <c r="J29" s="104"/>
      <c r="K29" s="36">
        <f t="shared" si="0"/>
        <v>150</v>
      </c>
      <c r="L29" s="97"/>
      <c r="M29" s="37"/>
    </row>
    <row r="30" spans="1:13" collapsed="1" x14ac:dyDescent="0.25">
      <c r="A30" s="33">
        <v>5</v>
      </c>
      <c r="B30" s="34" t="s">
        <v>128</v>
      </c>
      <c r="C30" s="35"/>
      <c r="D30" s="29"/>
      <c r="E30" s="40"/>
      <c r="F30" s="35"/>
      <c r="G30" s="106">
        <f>SUM(F31:F39)</f>
        <v>3791.3525</v>
      </c>
      <c r="H30" s="104"/>
      <c r="I30" s="105"/>
      <c r="J30" s="106">
        <f>SUM(I31:I39)</f>
        <v>4503.1860999999999</v>
      </c>
      <c r="K30" s="36"/>
      <c r="L30" s="105">
        <f>+G30-J30</f>
        <v>-711.83359999999993</v>
      </c>
      <c r="M30" s="37">
        <f>+L30/J30</f>
        <v>-0.15807332501759142</v>
      </c>
    </row>
    <row r="31" spans="1:13" hidden="1" outlineLevel="1" x14ac:dyDescent="0.25">
      <c r="A31" s="29">
        <v>5.0999999999999996</v>
      </c>
      <c r="B31" s="35" t="s">
        <v>91</v>
      </c>
      <c r="C31" s="29" t="s">
        <v>11</v>
      </c>
      <c r="D31" s="115">
        <v>135.03</v>
      </c>
      <c r="E31" s="120">
        <v>0</v>
      </c>
      <c r="F31" s="114">
        <f t="shared" ref="F31:F39" si="4">+D31*E31</f>
        <v>0</v>
      </c>
      <c r="G31" s="104"/>
      <c r="H31" s="104">
        <v>3.93</v>
      </c>
      <c r="I31" s="129">
        <f t="shared" si="3"/>
        <v>530.66790000000003</v>
      </c>
      <c r="J31" s="104"/>
      <c r="K31" s="36">
        <f t="shared" si="0"/>
        <v>-530.66790000000003</v>
      </c>
      <c r="L31" s="97"/>
      <c r="M31" s="37"/>
    </row>
    <row r="32" spans="1:13" hidden="1" outlineLevel="1" x14ac:dyDescent="0.25">
      <c r="A32" s="29">
        <v>5.2</v>
      </c>
      <c r="B32" s="35" t="s">
        <v>94</v>
      </c>
      <c r="C32" s="29" t="s">
        <v>9</v>
      </c>
      <c r="D32" s="115">
        <v>13.79</v>
      </c>
      <c r="E32" s="120">
        <v>0</v>
      </c>
      <c r="F32" s="114">
        <f t="shared" si="4"/>
        <v>0</v>
      </c>
      <c r="G32" s="104"/>
      <c r="H32" s="104">
        <v>80</v>
      </c>
      <c r="I32" s="129">
        <f t="shared" si="3"/>
        <v>1103.1999999999998</v>
      </c>
      <c r="J32" s="104"/>
      <c r="K32" s="36">
        <f t="shared" si="0"/>
        <v>-1103.1999999999998</v>
      </c>
      <c r="L32" s="97"/>
      <c r="M32" s="37"/>
    </row>
    <row r="33" spans="1:13" hidden="1" outlineLevel="1" x14ac:dyDescent="0.25">
      <c r="A33" s="29">
        <v>5.3</v>
      </c>
      <c r="B33" s="35" t="s">
        <v>58</v>
      </c>
      <c r="C33" s="29" t="s">
        <v>14</v>
      </c>
      <c r="D33" s="115">
        <v>4.08</v>
      </c>
      <c r="E33" s="120">
        <v>160</v>
      </c>
      <c r="F33" s="114">
        <f t="shared" si="4"/>
        <v>652.79999999999995</v>
      </c>
      <c r="G33" s="104"/>
      <c r="H33" s="104">
        <v>0</v>
      </c>
      <c r="I33" s="129">
        <f t="shared" si="3"/>
        <v>0</v>
      </c>
      <c r="J33" s="104"/>
      <c r="K33" s="36">
        <f t="shared" si="0"/>
        <v>652.79999999999995</v>
      </c>
      <c r="L33" s="97"/>
      <c r="M33" s="37"/>
    </row>
    <row r="34" spans="1:13" hidden="1" outlineLevel="1" x14ac:dyDescent="0.25">
      <c r="A34" s="29">
        <v>5.4</v>
      </c>
      <c r="B34" s="35" t="s">
        <v>59</v>
      </c>
      <c r="C34" s="29" t="s">
        <v>9</v>
      </c>
      <c r="D34" s="115">
        <v>30.73</v>
      </c>
      <c r="E34" s="120">
        <v>80</v>
      </c>
      <c r="F34" s="114">
        <f t="shared" si="4"/>
        <v>2458.4</v>
      </c>
      <c r="G34" s="104"/>
      <c r="H34" s="104">
        <v>0</v>
      </c>
      <c r="I34" s="129">
        <f t="shared" si="3"/>
        <v>0</v>
      </c>
      <c r="J34" s="104"/>
      <c r="K34" s="36">
        <f t="shared" si="0"/>
        <v>2458.4</v>
      </c>
      <c r="L34" s="97"/>
      <c r="M34" s="37"/>
    </row>
    <row r="35" spans="1:13" hidden="1" outlineLevel="1" x14ac:dyDescent="0.25">
      <c r="A35" s="29">
        <v>5.5</v>
      </c>
      <c r="B35" s="42" t="s">
        <v>93</v>
      </c>
      <c r="C35" s="29" t="s">
        <v>9</v>
      </c>
      <c r="D35" s="115">
        <v>4.33</v>
      </c>
      <c r="E35" s="120">
        <v>80</v>
      </c>
      <c r="F35" s="114">
        <f t="shared" si="4"/>
        <v>346.4</v>
      </c>
      <c r="G35" s="104"/>
      <c r="H35" s="104">
        <v>80</v>
      </c>
      <c r="I35" s="129">
        <f t="shared" si="3"/>
        <v>346.4</v>
      </c>
      <c r="J35" s="104"/>
      <c r="K35" s="36">
        <f t="shared" si="0"/>
        <v>0</v>
      </c>
      <c r="L35" s="97"/>
      <c r="M35" s="37"/>
    </row>
    <row r="36" spans="1:13" hidden="1" outlineLevel="1" x14ac:dyDescent="0.25">
      <c r="A36" s="29">
        <v>5.6</v>
      </c>
      <c r="B36" s="42" t="s">
        <v>60</v>
      </c>
      <c r="C36" s="29" t="s">
        <v>9</v>
      </c>
      <c r="D36" s="115">
        <v>3.13</v>
      </c>
      <c r="E36" s="120">
        <v>80</v>
      </c>
      <c r="F36" s="114">
        <f t="shared" si="4"/>
        <v>250.39999999999998</v>
      </c>
      <c r="G36" s="104"/>
      <c r="H36" s="104">
        <v>80</v>
      </c>
      <c r="I36" s="129">
        <f t="shared" si="3"/>
        <v>250.39999999999998</v>
      </c>
      <c r="J36" s="104"/>
      <c r="K36" s="36">
        <f t="shared" si="0"/>
        <v>0</v>
      </c>
      <c r="L36" s="97"/>
      <c r="M36" s="37"/>
    </row>
    <row r="37" spans="1:13" hidden="1" outlineLevel="1" x14ac:dyDescent="0.25">
      <c r="A37" s="29">
        <v>5.7</v>
      </c>
      <c r="B37" s="42" t="s">
        <v>92</v>
      </c>
      <c r="C37" s="29" t="s">
        <v>11</v>
      </c>
      <c r="D37" s="115">
        <v>106.42</v>
      </c>
      <c r="E37" s="120">
        <v>0</v>
      </c>
      <c r="F37" s="114">
        <f t="shared" si="4"/>
        <v>0</v>
      </c>
      <c r="G37" s="104"/>
      <c r="H37" s="104">
        <v>16</v>
      </c>
      <c r="I37" s="129">
        <f t="shared" si="3"/>
        <v>1702.72</v>
      </c>
      <c r="J37" s="104"/>
      <c r="K37" s="36">
        <f t="shared" si="0"/>
        <v>-1702.72</v>
      </c>
      <c r="L37" s="97"/>
      <c r="M37" s="37"/>
    </row>
    <row r="38" spans="1:13" ht="31.5" hidden="1" outlineLevel="1" x14ac:dyDescent="0.25">
      <c r="A38" s="113">
        <v>5.8</v>
      </c>
      <c r="B38" s="42" t="s">
        <v>54</v>
      </c>
      <c r="C38" s="113" t="s">
        <v>12</v>
      </c>
      <c r="D38" s="115">
        <v>1.27</v>
      </c>
      <c r="E38" s="114">
        <v>0</v>
      </c>
      <c r="F38" s="114">
        <f t="shared" si="4"/>
        <v>0</v>
      </c>
      <c r="G38" s="129"/>
      <c r="H38" s="129">
        <v>448.66</v>
      </c>
      <c r="I38" s="129">
        <f t="shared" si="3"/>
        <v>569.79820000000007</v>
      </c>
      <c r="J38" s="129"/>
      <c r="K38" s="36">
        <f t="shared" si="0"/>
        <v>-569.79820000000007</v>
      </c>
      <c r="L38" s="97"/>
      <c r="M38" s="37"/>
    </row>
    <row r="39" spans="1:13" hidden="1" outlineLevel="1" x14ac:dyDescent="0.25">
      <c r="A39" s="29">
        <v>5.9</v>
      </c>
      <c r="B39" s="42" t="s">
        <v>73</v>
      </c>
      <c r="C39" s="29" t="s">
        <v>14</v>
      </c>
      <c r="D39" s="115">
        <v>4.33</v>
      </c>
      <c r="E39" s="120">
        <v>19.25</v>
      </c>
      <c r="F39" s="114">
        <f t="shared" si="4"/>
        <v>83.352500000000006</v>
      </c>
      <c r="G39" s="104"/>
      <c r="H39" s="104">
        <v>0</v>
      </c>
      <c r="I39" s="129">
        <f t="shared" si="3"/>
        <v>0</v>
      </c>
      <c r="J39" s="104"/>
      <c r="K39" s="36">
        <f t="shared" si="0"/>
        <v>83.352500000000006</v>
      </c>
      <c r="L39" s="97"/>
      <c r="M39" s="37"/>
    </row>
    <row r="40" spans="1:13" collapsed="1" x14ac:dyDescent="0.25">
      <c r="A40" s="33">
        <v>6</v>
      </c>
      <c r="B40" s="34" t="s">
        <v>129</v>
      </c>
      <c r="C40" s="35"/>
      <c r="D40" s="29"/>
      <c r="E40" s="40"/>
      <c r="F40" s="35"/>
      <c r="G40" s="106">
        <f>SUM(F41:F47)</f>
        <v>2606.85</v>
      </c>
      <c r="H40" s="104"/>
      <c r="I40" s="105"/>
      <c r="J40" s="106">
        <f>SUM(I41:I47)</f>
        <v>4098.1188000000002</v>
      </c>
      <c r="K40" s="36"/>
      <c r="L40" s="105">
        <f>+G40-J40</f>
        <v>-1491.2688000000003</v>
      </c>
      <c r="M40" s="37">
        <f>+L40/J40</f>
        <v>-0.36389106143043004</v>
      </c>
    </row>
    <row r="41" spans="1:13" hidden="1" outlineLevel="1" x14ac:dyDescent="0.25">
      <c r="A41" s="29">
        <v>6.1</v>
      </c>
      <c r="B41" s="35" t="s">
        <v>61</v>
      </c>
      <c r="C41" s="29" t="s">
        <v>9</v>
      </c>
      <c r="D41" s="121">
        <v>8.7100000000000009</v>
      </c>
      <c r="E41" s="120">
        <v>0</v>
      </c>
      <c r="F41" s="114">
        <f t="shared" ref="F41:F47" si="5">+D41*E41</f>
        <v>0</v>
      </c>
      <c r="G41" s="104"/>
      <c r="H41" s="104">
        <f>121.68+90.6+69</f>
        <v>281.27999999999997</v>
      </c>
      <c r="I41" s="129">
        <f t="shared" si="3"/>
        <v>2449.9488000000001</v>
      </c>
      <c r="J41" s="104"/>
      <c r="K41" s="36">
        <f t="shared" si="0"/>
        <v>-2449.9488000000001</v>
      </c>
      <c r="L41" s="97"/>
      <c r="M41" s="37"/>
    </row>
    <row r="42" spans="1:13" hidden="1" outlineLevel="1" x14ac:dyDescent="0.25">
      <c r="A42" s="29">
        <v>6.2</v>
      </c>
      <c r="B42" s="35" t="s">
        <v>65</v>
      </c>
      <c r="C42" s="29" t="s">
        <v>9</v>
      </c>
      <c r="D42" s="121">
        <v>5.31</v>
      </c>
      <c r="E42" s="120">
        <f>120+88.8</f>
        <v>208.8</v>
      </c>
      <c r="F42" s="114">
        <f t="shared" si="5"/>
        <v>1108.7280000000001</v>
      </c>
      <c r="G42" s="104"/>
      <c r="H42" s="104">
        <v>0</v>
      </c>
      <c r="I42" s="129">
        <f t="shared" si="3"/>
        <v>0</v>
      </c>
      <c r="J42" s="104"/>
      <c r="K42" s="36">
        <f t="shared" si="0"/>
        <v>1108.7280000000001</v>
      </c>
      <c r="L42" s="97"/>
      <c r="M42" s="37"/>
    </row>
    <row r="43" spans="1:13" hidden="1" outlineLevel="1" x14ac:dyDescent="0.25">
      <c r="A43" s="29">
        <v>6.3</v>
      </c>
      <c r="B43" s="35" t="s">
        <v>62</v>
      </c>
      <c r="C43" s="29" t="s">
        <v>9</v>
      </c>
      <c r="D43" s="121">
        <v>12.3</v>
      </c>
      <c r="E43" s="120">
        <v>0</v>
      </c>
      <c r="F43" s="114">
        <f t="shared" si="5"/>
        <v>0</v>
      </c>
      <c r="G43" s="104"/>
      <c r="H43" s="104">
        <v>90.6</v>
      </c>
      <c r="I43" s="129">
        <f t="shared" si="3"/>
        <v>1114.3799999999999</v>
      </c>
      <c r="J43" s="104"/>
      <c r="K43" s="36">
        <f t="shared" si="0"/>
        <v>-1114.3799999999999</v>
      </c>
      <c r="L43" s="97"/>
      <c r="M43" s="37"/>
    </row>
    <row r="44" spans="1:13" hidden="1" outlineLevel="1" x14ac:dyDescent="0.25">
      <c r="A44" s="29">
        <v>6.4</v>
      </c>
      <c r="B44" s="35" t="s">
        <v>64</v>
      </c>
      <c r="C44" s="29" t="s">
        <v>9</v>
      </c>
      <c r="D44" s="121">
        <v>9.84</v>
      </c>
      <c r="E44" s="120">
        <v>88.8</v>
      </c>
      <c r="F44" s="114">
        <f t="shared" si="5"/>
        <v>873.79199999999992</v>
      </c>
      <c r="G44" s="104"/>
      <c r="H44" s="104">
        <v>0</v>
      </c>
      <c r="I44" s="129">
        <f t="shared" si="3"/>
        <v>0</v>
      </c>
      <c r="J44" s="104"/>
      <c r="K44" s="36">
        <f t="shared" si="0"/>
        <v>873.79199999999992</v>
      </c>
      <c r="L44" s="97"/>
      <c r="M44" s="37"/>
    </row>
    <row r="45" spans="1:13" hidden="1" outlineLevel="1" x14ac:dyDescent="0.25">
      <c r="A45" s="29">
        <v>6.5</v>
      </c>
      <c r="B45" s="35" t="s">
        <v>63</v>
      </c>
      <c r="C45" s="29" t="s">
        <v>14</v>
      </c>
      <c r="D45" s="121">
        <v>3</v>
      </c>
      <c r="E45" s="120">
        <v>70</v>
      </c>
      <c r="F45" s="114">
        <f t="shared" si="5"/>
        <v>210</v>
      </c>
      <c r="G45" s="104"/>
      <c r="H45" s="104">
        <v>70</v>
      </c>
      <c r="I45" s="129">
        <f t="shared" si="3"/>
        <v>210</v>
      </c>
      <c r="J45" s="104"/>
      <c r="K45" s="36">
        <f t="shared" si="0"/>
        <v>0</v>
      </c>
      <c r="L45" s="97"/>
      <c r="M45" s="37"/>
    </row>
    <row r="46" spans="1:13" hidden="1" outlineLevel="1" x14ac:dyDescent="0.25">
      <c r="A46" s="29">
        <v>6.6</v>
      </c>
      <c r="B46" s="35" t="s">
        <v>24</v>
      </c>
      <c r="C46" s="29" t="s">
        <v>9</v>
      </c>
      <c r="D46" s="121">
        <v>12.9</v>
      </c>
      <c r="E46" s="120">
        <f>9.6+6.3+8.4</f>
        <v>24.299999999999997</v>
      </c>
      <c r="F46" s="114">
        <f t="shared" si="5"/>
        <v>313.46999999999997</v>
      </c>
      <c r="G46" s="104"/>
      <c r="H46" s="104">
        <f>10.4+6.3+8.4</f>
        <v>25.1</v>
      </c>
      <c r="I46" s="129">
        <f t="shared" si="3"/>
        <v>323.79000000000002</v>
      </c>
      <c r="J46" s="104"/>
      <c r="K46" s="36">
        <f t="shared" si="0"/>
        <v>-10.32000000000005</v>
      </c>
      <c r="L46" s="97"/>
      <c r="M46" s="37"/>
    </row>
    <row r="47" spans="1:13" hidden="1" outlineLevel="1" x14ac:dyDescent="0.25">
      <c r="A47" s="29">
        <v>6.7</v>
      </c>
      <c r="B47" s="35" t="s">
        <v>74</v>
      </c>
      <c r="C47" s="29" t="s">
        <v>9</v>
      </c>
      <c r="D47" s="121">
        <v>12.3</v>
      </c>
      <c r="E47" s="35">
        <v>8.1999999999999993</v>
      </c>
      <c r="F47" s="114">
        <f t="shared" si="5"/>
        <v>100.86</v>
      </c>
      <c r="G47" s="104"/>
      <c r="H47" s="105">
        <v>0</v>
      </c>
      <c r="I47" s="129">
        <f t="shared" si="3"/>
        <v>0</v>
      </c>
      <c r="J47" s="104"/>
      <c r="K47" s="36">
        <f t="shared" si="0"/>
        <v>100.86</v>
      </c>
      <c r="L47" s="97"/>
      <c r="M47" s="37"/>
    </row>
    <row r="48" spans="1:13" collapsed="1" x14ac:dyDescent="0.25">
      <c r="A48" s="33">
        <v>7</v>
      </c>
      <c r="B48" s="34" t="s">
        <v>130</v>
      </c>
      <c r="C48" s="35"/>
      <c r="D48" s="29"/>
      <c r="E48" s="35"/>
      <c r="F48" s="29"/>
      <c r="G48" s="106">
        <f>SUM(F49:F50)</f>
        <v>1068.96</v>
      </c>
      <c r="H48" s="105"/>
      <c r="I48" s="130"/>
      <c r="J48" s="106">
        <f>SUM(I49:I50)</f>
        <v>1068.96</v>
      </c>
      <c r="K48" s="36"/>
      <c r="L48" s="97">
        <f>+G48-J48</f>
        <v>0</v>
      </c>
      <c r="M48" s="37">
        <f>+L48/G48</f>
        <v>0</v>
      </c>
    </row>
    <row r="49" spans="1:13" hidden="1" outlineLevel="1" x14ac:dyDescent="0.25">
      <c r="A49" s="113">
        <v>7.1</v>
      </c>
      <c r="B49" s="38" t="s">
        <v>25</v>
      </c>
      <c r="C49" s="113" t="s">
        <v>9</v>
      </c>
      <c r="D49" s="115">
        <v>13.64</v>
      </c>
      <c r="E49" s="114">
        <v>64</v>
      </c>
      <c r="F49" s="114">
        <f>+D49*E49</f>
        <v>872.96</v>
      </c>
      <c r="G49" s="129"/>
      <c r="H49" s="129">
        <v>64</v>
      </c>
      <c r="I49" s="129">
        <f t="shared" si="3"/>
        <v>872.96</v>
      </c>
      <c r="J49" s="129"/>
      <c r="K49" s="36">
        <f t="shared" si="0"/>
        <v>0</v>
      </c>
      <c r="L49" s="97"/>
      <c r="M49" s="37"/>
    </row>
    <row r="50" spans="1:13" hidden="1" outlineLevel="1" x14ac:dyDescent="0.25">
      <c r="A50" s="119">
        <v>7.2</v>
      </c>
      <c r="B50" s="38" t="s">
        <v>18</v>
      </c>
      <c r="C50" s="113" t="s">
        <v>8</v>
      </c>
      <c r="D50" s="115">
        <v>3.92</v>
      </c>
      <c r="E50" s="114">
        <v>50</v>
      </c>
      <c r="F50" s="114">
        <f>+D50*E50</f>
        <v>196</v>
      </c>
      <c r="G50" s="129"/>
      <c r="H50" s="129">
        <v>50</v>
      </c>
      <c r="I50" s="129">
        <f t="shared" si="3"/>
        <v>196</v>
      </c>
      <c r="J50" s="129"/>
      <c r="K50" s="36">
        <f t="shared" si="0"/>
        <v>0</v>
      </c>
      <c r="L50" s="97"/>
      <c r="M50" s="37"/>
    </row>
    <row r="51" spans="1:13" collapsed="1" x14ac:dyDescent="0.25">
      <c r="A51" s="33">
        <v>8</v>
      </c>
      <c r="B51" s="34" t="s">
        <v>158</v>
      </c>
      <c r="C51" s="35"/>
      <c r="D51" s="29"/>
      <c r="E51" s="35"/>
      <c r="F51" s="35"/>
      <c r="G51" s="106">
        <f>SUM(F52:F62)</f>
        <v>2917.4369999999999</v>
      </c>
      <c r="H51" s="105"/>
      <c r="I51" s="105"/>
      <c r="J51" s="106">
        <f>SUM(I52:I62)</f>
        <v>2917.4369999999999</v>
      </c>
      <c r="K51" s="36"/>
      <c r="L51" s="97">
        <f>+G51-J51</f>
        <v>0</v>
      </c>
      <c r="M51" s="37">
        <f>+L51/G51</f>
        <v>0</v>
      </c>
    </row>
    <row r="52" spans="1:13" hidden="1" outlineLevel="1" x14ac:dyDescent="0.25">
      <c r="A52" s="113">
        <v>8.1</v>
      </c>
      <c r="B52" s="38" t="s">
        <v>19</v>
      </c>
      <c r="C52" s="113" t="s">
        <v>14</v>
      </c>
      <c r="D52" s="115">
        <v>86.34</v>
      </c>
      <c r="E52" s="114">
        <v>7.5</v>
      </c>
      <c r="F52" s="114">
        <f t="shared" ref="F52:F62" si="6">+D52*E52</f>
        <v>647.55000000000007</v>
      </c>
      <c r="G52" s="129"/>
      <c r="H52" s="129">
        <v>7.5</v>
      </c>
      <c r="I52" s="129">
        <f t="shared" si="3"/>
        <v>647.55000000000007</v>
      </c>
      <c r="J52" s="129"/>
      <c r="K52" s="36">
        <f t="shared" si="0"/>
        <v>0</v>
      </c>
      <c r="L52" s="97"/>
      <c r="M52" s="37"/>
    </row>
    <row r="53" spans="1:13" hidden="1" outlineLevel="1" x14ac:dyDescent="0.25">
      <c r="A53" s="113">
        <v>8.1999999999999993</v>
      </c>
      <c r="B53" s="38" t="s">
        <v>20</v>
      </c>
      <c r="C53" s="113" t="s">
        <v>14</v>
      </c>
      <c r="D53" s="115">
        <v>59.45</v>
      </c>
      <c r="E53" s="114">
        <v>4.5</v>
      </c>
      <c r="F53" s="114">
        <f t="shared" si="6"/>
        <v>267.52500000000003</v>
      </c>
      <c r="G53" s="129"/>
      <c r="H53" s="129">
        <v>4.5</v>
      </c>
      <c r="I53" s="129">
        <f t="shared" si="3"/>
        <v>267.52500000000003</v>
      </c>
      <c r="J53" s="129"/>
      <c r="K53" s="36">
        <f t="shared" si="0"/>
        <v>0</v>
      </c>
      <c r="L53" s="97"/>
      <c r="M53" s="37"/>
    </row>
    <row r="54" spans="1:13" hidden="1" outlineLevel="1" x14ac:dyDescent="0.25">
      <c r="A54" s="113">
        <v>8.3000000000000007</v>
      </c>
      <c r="B54" s="38" t="s">
        <v>69</v>
      </c>
      <c r="C54" s="113" t="s">
        <v>9</v>
      </c>
      <c r="D54" s="115">
        <v>74.34</v>
      </c>
      <c r="E54" s="114">
        <v>9.3000000000000007</v>
      </c>
      <c r="F54" s="114">
        <f t="shared" si="6"/>
        <v>691.36200000000008</v>
      </c>
      <c r="G54" s="129"/>
      <c r="H54" s="129">
        <v>9.3000000000000007</v>
      </c>
      <c r="I54" s="129">
        <f t="shared" si="3"/>
        <v>691.36200000000008</v>
      </c>
      <c r="J54" s="129"/>
      <c r="K54" s="36">
        <f t="shared" si="0"/>
        <v>0</v>
      </c>
      <c r="L54" s="97"/>
      <c r="M54" s="37"/>
    </row>
    <row r="55" spans="1:13" hidden="1" outlineLevel="1" x14ac:dyDescent="0.25">
      <c r="A55" s="113">
        <v>8.4</v>
      </c>
      <c r="B55" s="38" t="s">
        <v>68</v>
      </c>
      <c r="C55" s="113" t="s">
        <v>13</v>
      </c>
      <c r="D55" s="115">
        <v>99</v>
      </c>
      <c r="E55" s="114">
        <v>1</v>
      </c>
      <c r="F55" s="114">
        <f t="shared" si="6"/>
        <v>99</v>
      </c>
      <c r="G55" s="129"/>
      <c r="H55" s="129">
        <v>1</v>
      </c>
      <c r="I55" s="129">
        <f t="shared" si="3"/>
        <v>99</v>
      </c>
      <c r="J55" s="129"/>
      <c r="K55" s="36">
        <f t="shared" si="0"/>
        <v>0</v>
      </c>
      <c r="L55" s="97"/>
      <c r="M55" s="37"/>
    </row>
    <row r="56" spans="1:13" hidden="1" outlineLevel="1" x14ac:dyDescent="0.25">
      <c r="A56" s="113">
        <v>8.5</v>
      </c>
      <c r="B56" s="38" t="s">
        <v>66</v>
      </c>
      <c r="C56" s="113" t="s">
        <v>13</v>
      </c>
      <c r="D56" s="115">
        <v>93</v>
      </c>
      <c r="E56" s="114">
        <v>2</v>
      </c>
      <c r="F56" s="114">
        <f t="shared" si="6"/>
        <v>186</v>
      </c>
      <c r="G56" s="129"/>
      <c r="H56" s="129">
        <v>2</v>
      </c>
      <c r="I56" s="129">
        <f t="shared" si="3"/>
        <v>186</v>
      </c>
      <c r="J56" s="129"/>
      <c r="K56" s="36">
        <f t="shared" si="0"/>
        <v>0</v>
      </c>
      <c r="L56" s="97"/>
      <c r="M56" s="37"/>
    </row>
    <row r="57" spans="1:13" hidden="1" outlineLevel="1" x14ac:dyDescent="0.25">
      <c r="A57" s="113">
        <v>8.6</v>
      </c>
      <c r="B57" s="38" t="s">
        <v>67</v>
      </c>
      <c r="C57" s="113" t="s">
        <v>13</v>
      </c>
      <c r="D57" s="115">
        <v>90</v>
      </c>
      <c r="E57" s="114">
        <v>2</v>
      </c>
      <c r="F57" s="114">
        <f t="shared" si="6"/>
        <v>180</v>
      </c>
      <c r="G57" s="129"/>
      <c r="H57" s="129">
        <v>2</v>
      </c>
      <c r="I57" s="129">
        <f t="shared" si="3"/>
        <v>180</v>
      </c>
      <c r="J57" s="129"/>
      <c r="K57" s="36">
        <f t="shared" si="0"/>
        <v>0</v>
      </c>
      <c r="L57" s="97"/>
      <c r="M57" s="37"/>
    </row>
    <row r="58" spans="1:13" hidden="1" outlineLevel="1" x14ac:dyDescent="0.25">
      <c r="A58" s="113">
        <v>8.6999999999999993</v>
      </c>
      <c r="B58" s="38" t="s">
        <v>70</v>
      </c>
      <c r="C58" s="113" t="s">
        <v>13</v>
      </c>
      <c r="D58" s="115">
        <v>18.5</v>
      </c>
      <c r="E58" s="114">
        <v>2</v>
      </c>
      <c r="F58" s="114">
        <f t="shared" si="6"/>
        <v>37</v>
      </c>
      <c r="G58" s="129"/>
      <c r="H58" s="129">
        <v>2</v>
      </c>
      <c r="I58" s="129">
        <f t="shared" si="3"/>
        <v>37</v>
      </c>
      <c r="J58" s="129"/>
      <c r="K58" s="36">
        <f t="shared" si="0"/>
        <v>0</v>
      </c>
      <c r="L58" s="97"/>
      <c r="M58" s="37"/>
    </row>
    <row r="59" spans="1:13" hidden="1" outlineLevel="1" x14ac:dyDescent="0.25">
      <c r="A59" s="113">
        <v>8.8000000000000007</v>
      </c>
      <c r="B59" s="38" t="s">
        <v>71</v>
      </c>
      <c r="C59" s="113" t="s">
        <v>13</v>
      </c>
      <c r="D59" s="115">
        <v>13.5</v>
      </c>
      <c r="E59" s="114">
        <v>2</v>
      </c>
      <c r="F59" s="114">
        <f t="shared" si="6"/>
        <v>27</v>
      </c>
      <c r="G59" s="129"/>
      <c r="H59" s="129">
        <v>2</v>
      </c>
      <c r="I59" s="129">
        <f t="shared" si="3"/>
        <v>27</v>
      </c>
      <c r="J59" s="129"/>
      <c r="K59" s="36">
        <f t="shared" si="0"/>
        <v>0</v>
      </c>
      <c r="L59" s="97"/>
      <c r="M59" s="37"/>
    </row>
    <row r="60" spans="1:13" hidden="1" outlineLevel="1" x14ac:dyDescent="0.25">
      <c r="A60" s="113">
        <v>8.9</v>
      </c>
      <c r="B60" s="38" t="s">
        <v>72</v>
      </c>
      <c r="C60" s="113" t="s">
        <v>13</v>
      </c>
      <c r="D60" s="115">
        <v>20</v>
      </c>
      <c r="E60" s="114">
        <v>1</v>
      </c>
      <c r="F60" s="114">
        <f t="shared" si="6"/>
        <v>20</v>
      </c>
      <c r="G60" s="129"/>
      <c r="H60" s="129">
        <v>1</v>
      </c>
      <c r="I60" s="129">
        <f t="shared" si="3"/>
        <v>20</v>
      </c>
      <c r="J60" s="129"/>
      <c r="K60" s="36">
        <f t="shared" si="0"/>
        <v>0</v>
      </c>
      <c r="L60" s="97"/>
      <c r="M60" s="37"/>
    </row>
    <row r="61" spans="1:13" hidden="1" outlineLevel="1" x14ac:dyDescent="0.25">
      <c r="A61" s="113">
        <v>8.1</v>
      </c>
      <c r="B61" s="38" t="s">
        <v>75</v>
      </c>
      <c r="C61" s="113" t="s">
        <v>13</v>
      </c>
      <c r="D61" s="115">
        <v>80</v>
      </c>
      <c r="E61" s="114">
        <v>4</v>
      </c>
      <c r="F61" s="114">
        <f t="shared" si="6"/>
        <v>320</v>
      </c>
      <c r="G61" s="129"/>
      <c r="H61" s="129">
        <v>4</v>
      </c>
      <c r="I61" s="129">
        <f t="shared" si="3"/>
        <v>320</v>
      </c>
      <c r="J61" s="129"/>
      <c r="K61" s="36">
        <f t="shared" si="0"/>
        <v>0</v>
      </c>
      <c r="L61" s="97"/>
      <c r="M61" s="37"/>
    </row>
    <row r="62" spans="1:13" hidden="1" outlineLevel="1" x14ac:dyDescent="0.25">
      <c r="A62" s="113">
        <v>8.11</v>
      </c>
      <c r="B62" s="38" t="s">
        <v>76</v>
      </c>
      <c r="C62" s="113" t="s">
        <v>9</v>
      </c>
      <c r="D62" s="115">
        <v>26</v>
      </c>
      <c r="E62" s="114">
        <v>17</v>
      </c>
      <c r="F62" s="114">
        <f t="shared" si="6"/>
        <v>442</v>
      </c>
      <c r="G62" s="129"/>
      <c r="H62" s="129">
        <v>17</v>
      </c>
      <c r="I62" s="129">
        <f t="shared" si="3"/>
        <v>442</v>
      </c>
      <c r="J62" s="129"/>
      <c r="K62" s="36">
        <f t="shared" si="0"/>
        <v>0</v>
      </c>
      <c r="L62" s="97"/>
      <c r="M62" s="37"/>
    </row>
    <row r="63" spans="1:13" collapsed="1" x14ac:dyDescent="0.25">
      <c r="A63" s="33">
        <v>9</v>
      </c>
      <c r="B63" s="34" t="s">
        <v>132</v>
      </c>
      <c r="C63" s="35"/>
      <c r="D63" s="29"/>
      <c r="E63" s="35"/>
      <c r="F63" s="40"/>
      <c r="G63" s="106">
        <f>SUM(F64:F65)</f>
        <v>1273.248</v>
      </c>
      <c r="H63" s="105"/>
      <c r="I63" s="104"/>
      <c r="J63" s="106">
        <f>SUM(I64:I65)</f>
        <v>1762.9178000000002</v>
      </c>
      <c r="K63" s="36"/>
      <c r="L63" s="104">
        <f>+G63-J63</f>
        <v>-489.66980000000012</v>
      </c>
      <c r="M63" s="37">
        <f>+L63/J63</f>
        <v>-0.27776099373436475</v>
      </c>
    </row>
    <row r="64" spans="1:13" hidden="1" outlineLevel="1" x14ac:dyDescent="0.25">
      <c r="A64" s="113">
        <v>9.1</v>
      </c>
      <c r="B64" s="38" t="s">
        <v>77</v>
      </c>
      <c r="C64" s="113" t="s">
        <v>9</v>
      </c>
      <c r="D64" s="115">
        <v>3.98</v>
      </c>
      <c r="E64" s="114">
        <v>208.8</v>
      </c>
      <c r="F64" s="114">
        <f>+D64*E64</f>
        <v>831.024</v>
      </c>
      <c r="G64" s="129"/>
      <c r="H64" s="129">
        <f>207.11+69</f>
        <v>276.11</v>
      </c>
      <c r="I64" s="129">
        <f>+$D64*H64</f>
        <v>1098.9177999999999</v>
      </c>
      <c r="J64" s="129"/>
      <c r="K64" s="36">
        <f t="shared" si="0"/>
        <v>-267.89379999999994</v>
      </c>
      <c r="L64" s="97"/>
      <c r="M64" s="37"/>
    </row>
    <row r="65" spans="1:13" hidden="1" outlineLevel="1" x14ac:dyDescent="0.25">
      <c r="A65" s="113">
        <v>9.1999999999999993</v>
      </c>
      <c r="B65" s="38" t="s">
        <v>78</v>
      </c>
      <c r="C65" s="113" t="s">
        <v>9</v>
      </c>
      <c r="D65" s="115">
        <v>4.9800000000000004</v>
      </c>
      <c r="E65" s="120">
        <v>88.8</v>
      </c>
      <c r="F65" s="114">
        <f>+D65*E65</f>
        <v>442.22400000000005</v>
      </c>
      <c r="G65" s="129"/>
      <c r="H65" s="129">
        <v>133.33333333333334</v>
      </c>
      <c r="I65" s="129">
        <f>+$D65*H65</f>
        <v>664.00000000000011</v>
      </c>
      <c r="J65" s="129"/>
      <c r="K65" s="36">
        <f t="shared" si="0"/>
        <v>-221.77600000000007</v>
      </c>
      <c r="L65" s="97"/>
      <c r="M65" s="37"/>
    </row>
    <row r="66" spans="1:13" collapsed="1" x14ac:dyDescent="0.25">
      <c r="A66" s="33">
        <v>10</v>
      </c>
      <c r="B66" s="34" t="s">
        <v>159</v>
      </c>
      <c r="C66" s="35"/>
      <c r="D66" s="29"/>
      <c r="E66" s="35"/>
      <c r="F66" s="35"/>
      <c r="G66" s="106">
        <f>SUM(F67:F67)</f>
        <v>450</v>
      </c>
      <c r="H66" s="105"/>
      <c r="I66" s="105"/>
      <c r="J66" s="106">
        <f>SUM(I67:I67)</f>
        <v>450</v>
      </c>
      <c r="K66" s="36"/>
      <c r="L66" s="97">
        <f>+G66-J66</f>
        <v>0</v>
      </c>
      <c r="M66" s="37">
        <f>+L66/G66</f>
        <v>0</v>
      </c>
    </row>
    <row r="67" spans="1:13" hidden="1" outlineLevel="1" x14ac:dyDescent="0.25">
      <c r="A67" s="113">
        <v>10.1</v>
      </c>
      <c r="B67" s="35" t="s">
        <v>86</v>
      </c>
      <c r="C67" s="29" t="s">
        <v>7</v>
      </c>
      <c r="D67" s="122">
        <v>450</v>
      </c>
      <c r="E67" s="35">
        <v>1</v>
      </c>
      <c r="F67" s="114">
        <f>+D67*E67</f>
        <v>450</v>
      </c>
      <c r="G67" s="106"/>
      <c r="H67" s="105">
        <v>1</v>
      </c>
      <c r="I67" s="129">
        <f t="shared" ref="I67:I80" si="7">+$D67*H67</f>
        <v>450</v>
      </c>
      <c r="J67" s="106"/>
      <c r="K67" s="36">
        <f t="shared" ref="K67:K80" si="8">+F67-I67</f>
        <v>0</v>
      </c>
      <c r="L67" s="97" t="s">
        <v>88</v>
      </c>
      <c r="M67" s="37"/>
    </row>
    <row r="68" spans="1:13" collapsed="1" x14ac:dyDescent="0.25">
      <c r="A68" s="33">
        <v>11</v>
      </c>
      <c r="B68" s="34" t="s">
        <v>160</v>
      </c>
      <c r="C68" s="35"/>
      <c r="D68" s="29"/>
      <c r="E68" s="35"/>
      <c r="F68" s="35"/>
      <c r="G68" s="106">
        <f>SUM(F69:F72)</f>
        <v>750.65</v>
      </c>
      <c r="H68" s="105"/>
      <c r="I68" s="105"/>
      <c r="J68" s="106">
        <f>SUM(I69:I72)</f>
        <v>771.93</v>
      </c>
      <c r="K68" s="36"/>
      <c r="L68" s="106">
        <f>+G68-J68</f>
        <v>-21.279999999999973</v>
      </c>
      <c r="M68" s="37">
        <f>+L68/J68</f>
        <v>-2.756726646198486E-2</v>
      </c>
    </row>
    <row r="69" spans="1:13" hidden="1" outlineLevel="1" x14ac:dyDescent="0.25">
      <c r="A69" s="43">
        <v>11.1</v>
      </c>
      <c r="B69" s="35" t="s">
        <v>87</v>
      </c>
      <c r="C69" s="29" t="s">
        <v>7</v>
      </c>
      <c r="D69" s="121">
        <f>916*0.65</f>
        <v>595.4</v>
      </c>
      <c r="E69" s="120">
        <v>1</v>
      </c>
      <c r="F69" s="114">
        <f>+D69*E69</f>
        <v>595.4</v>
      </c>
      <c r="G69" s="106"/>
      <c r="H69" s="104">
        <v>1</v>
      </c>
      <c r="I69" s="129">
        <f t="shared" si="7"/>
        <v>595.4</v>
      </c>
      <c r="J69" s="104"/>
      <c r="K69" s="36">
        <f t="shared" si="8"/>
        <v>0</v>
      </c>
      <c r="L69" s="97"/>
      <c r="M69" s="37"/>
    </row>
    <row r="70" spans="1:13" hidden="1" outlineLevel="1" x14ac:dyDescent="0.25">
      <c r="A70" s="43">
        <v>11.2</v>
      </c>
      <c r="B70" s="35" t="s">
        <v>79</v>
      </c>
      <c r="C70" s="29" t="s">
        <v>14</v>
      </c>
      <c r="D70" s="121">
        <f>0.07*3.8</f>
        <v>0.26600000000000001</v>
      </c>
      <c r="E70" s="120">
        <v>0</v>
      </c>
      <c r="F70" s="114">
        <f>+D70*E70</f>
        <v>0</v>
      </c>
      <c r="G70" s="106"/>
      <c r="H70" s="104">
        <v>80</v>
      </c>
      <c r="I70" s="129">
        <f t="shared" si="7"/>
        <v>21.28</v>
      </c>
      <c r="J70" s="104"/>
      <c r="K70" s="36">
        <f t="shared" si="8"/>
        <v>-21.28</v>
      </c>
      <c r="L70" s="97"/>
      <c r="M70" s="37"/>
    </row>
    <row r="71" spans="1:13" hidden="1" outlineLevel="1" x14ac:dyDescent="0.25">
      <c r="A71" s="43">
        <v>11.3</v>
      </c>
      <c r="B71" s="35" t="s">
        <v>17</v>
      </c>
      <c r="C71" s="29" t="s">
        <v>13</v>
      </c>
      <c r="D71" s="121">
        <v>1.01</v>
      </c>
      <c r="E71" s="120">
        <v>25</v>
      </c>
      <c r="F71" s="114">
        <f>+D71*E71</f>
        <v>25.25</v>
      </c>
      <c r="G71" s="106"/>
      <c r="H71" s="104">
        <v>25</v>
      </c>
      <c r="I71" s="129">
        <f t="shared" si="7"/>
        <v>25.25</v>
      </c>
      <c r="J71" s="104"/>
      <c r="K71" s="36">
        <f t="shared" si="8"/>
        <v>0</v>
      </c>
      <c r="L71" s="97"/>
      <c r="M71" s="37"/>
    </row>
    <row r="72" spans="1:13" hidden="1" outlineLevel="1" x14ac:dyDescent="0.25">
      <c r="A72" s="29">
        <v>11.4</v>
      </c>
      <c r="B72" s="35" t="s">
        <v>80</v>
      </c>
      <c r="C72" s="29" t="s">
        <v>13</v>
      </c>
      <c r="D72" s="121">
        <v>65</v>
      </c>
      <c r="E72" s="120">
        <v>2</v>
      </c>
      <c r="F72" s="114">
        <f>+D72*E72</f>
        <v>130</v>
      </c>
      <c r="G72" s="106"/>
      <c r="H72" s="105">
        <v>2</v>
      </c>
      <c r="I72" s="129">
        <f t="shared" si="7"/>
        <v>130</v>
      </c>
      <c r="J72" s="104"/>
      <c r="K72" s="36">
        <f t="shared" si="8"/>
        <v>0</v>
      </c>
      <c r="L72" s="97"/>
      <c r="M72" s="37"/>
    </row>
    <row r="73" spans="1:13" collapsed="1" x14ac:dyDescent="0.25">
      <c r="A73" s="33">
        <v>12</v>
      </c>
      <c r="B73" s="34" t="s">
        <v>161</v>
      </c>
      <c r="C73" s="35"/>
      <c r="D73" s="29"/>
      <c r="E73" s="35"/>
      <c r="F73" s="35"/>
      <c r="G73" s="106">
        <f>SUM(F74:F80)</f>
        <v>776.88999999999987</v>
      </c>
      <c r="H73" s="105"/>
      <c r="I73" s="105"/>
      <c r="J73" s="106">
        <f>SUM(I74:I80)</f>
        <v>428.44</v>
      </c>
      <c r="K73" s="36"/>
      <c r="L73" s="105">
        <f>+G73-J73</f>
        <v>348.44999999999987</v>
      </c>
      <c r="M73" s="37">
        <f>+L73/G73</f>
        <v>0.44851909536742646</v>
      </c>
    </row>
    <row r="74" spans="1:13" hidden="1" outlineLevel="1" x14ac:dyDescent="0.25">
      <c r="A74" s="43">
        <v>12.1</v>
      </c>
      <c r="B74" s="35" t="s">
        <v>96</v>
      </c>
      <c r="C74" s="29" t="s">
        <v>9</v>
      </c>
      <c r="D74" s="121">
        <v>5.05</v>
      </c>
      <c r="E74" s="120">
        <v>69</v>
      </c>
      <c r="F74" s="114">
        <f t="shared" ref="F74:F80" si="9">+D74*E74</f>
        <v>348.45</v>
      </c>
      <c r="G74" s="104"/>
      <c r="H74" s="104">
        <v>0</v>
      </c>
      <c r="I74" s="129">
        <f t="shared" si="7"/>
        <v>0</v>
      </c>
      <c r="J74" s="104"/>
      <c r="K74" s="36">
        <f t="shared" si="8"/>
        <v>348.45</v>
      </c>
      <c r="L74" s="97"/>
      <c r="M74" s="37"/>
    </row>
    <row r="75" spans="1:13" hidden="1" outlineLevel="1" x14ac:dyDescent="0.25">
      <c r="A75" s="43">
        <v>12.2</v>
      </c>
      <c r="B75" s="35" t="s">
        <v>84</v>
      </c>
      <c r="C75" s="29" t="s">
        <v>13</v>
      </c>
      <c r="D75" s="121">
        <v>79.459999999999994</v>
      </c>
      <c r="E75" s="120">
        <v>2</v>
      </c>
      <c r="F75" s="114">
        <f t="shared" si="9"/>
        <v>158.91999999999999</v>
      </c>
      <c r="G75" s="104"/>
      <c r="H75" s="104">
        <v>2</v>
      </c>
      <c r="I75" s="129">
        <f t="shared" si="7"/>
        <v>158.91999999999999</v>
      </c>
      <c r="J75" s="104"/>
      <c r="K75" s="36">
        <f t="shared" si="8"/>
        <v>0</v>
      </c>
      <c r="L75" s="97"/>
      <c r="M75" s="37"/>
    </row>
    <row r="76" spans="1:13" hidden="1" outlineLevel="1" x14ac:dyDescent="0.25">
      <c r="A76" s="43">
        <v>12.3</v>
      </c>
      <c r="B76" s="35" t="s">
        <v>81</v>
      </c>
      <c r="C76" s="29" t="s">
        <v>13</v>
      </c>
      <c r="D76" s="121">
        <f>12.5+28.55</f>
        <v>41.05</v>
      </c>
      <c r="E76" s="120">
        <v>2</v>
      </c>
      <c r="F76" s="114">
        <f t="shared" si="9"/>
        <v>82.1</v>
      </c>
      <c r="G76" s="104"/>
      <c r="H76" s="104">
        <v>2</v>
      </c>
      <c r="I76" s="129">
        <f t="shared" si="7"/>
        <v>82.1</v>
      </c>
      <c r="J76" s="104"/>
      <c r="K76" s="36">
        <f t="shared" si="8"/>
        <v>0</v>
      </c>
      <c r="L76" s="97"/>
      <c r="M76" s="37"/>
    </row>
    <row r="77" spans="1:13" hidden="1" outlineLevel="1" x14ac:dyDescent="0.25">
      <c r="A77" s="43">
        <v>12.4</v>
      </c>
      <c r="B77" s="35" t="s">
        <v>85</v>
      </c>
      <c r="C77" s="29" t="s">
        <v>13</v>
      </c>
      <c r="D77" s="121">
        <v>10.9</v>
      </c>
      <c r="E77" s="120">
        <v>2</v>
      </c>
      <c r="F77" s="114">
        <f t="shared" si="9"/>
        <v>21.8</v>
      </c>
      <c r="G77" s="104"/>
      <c r="H77" s="104">
        <v>2</v>
      </c>
      <c r="I77" s="129">
        <f t="shared" si="7"/>
        <v>21.8</v>
      </c>
      <c r="J77" s="104"/>
      <c r="K77" s="36">
        <f t="shared" si="8"/>
        <v>0</v>
      </c>
      <c r="L77" s="97"/>
      <c r="M77" s="37"/>
    </row>
    <row r="78" spans="1:13" hidden="1" outlineLevel="1" x14ac:dyDescent="0.25">
      <c r="A78" s="43">
        <v>12.5</v>
      </c>
      <c r="B78" s="35" t="s">
        <v>26</v>
      </c>
      <c r="C78" s="29" t="s">
        <v>13</v>
      </c>
      <c r="D78" s="121">
        <v>65</v>
      </c>
      <c r="E78" s="120">
        <v>1</v>
      </c>
      <c r="F78" s="114">
        <f t="shared" si="9"/>
        <v>65</v>
      </c>
      <c r="G78" s="104"/>
      <c r="H78" s="104">
        <v>1</v>
      </c>
      <c r="I78" s="129">
        <f t="shared" si="7"/>
        <v>65</v>
      </c>
      <c r="J78" s="104"/>
      <c r="K78" s="36">
        <f t="shared" si="8"/>
        <v>0</v>
      </c>
      <c r="L78" s="97"/>
      <c r="M78" s="37"/>
    </row>
    <row r="79" spans="1:13" hidden="1" outlineLevel="1" x14ac:dyDescent="0.25">
      <c r="A79" s="43">
        <v>12.6</v>
      </c>
      <c r="B79" s="35" t="s">
        <v>82</v>
      </c>
      <c r="C79" s="29" t="s">
        <v>13</v>
      </c>
      <c r="D79" s="121">
        <f>33.5+14.31</f>
        <v>47.81</v>
      </c>
      <c r="E79" s="120">
        <v>1</v>
      </c>
      <c r="F79" s="114">
        <f t="shared" si="9"/>
        <v>47.81</v>
      </c>
      <c r="G79" s="104"/>
      <c r="H79" s="104">
        <v>1</v>
      </c>
      <c r="I79" s="129">
        <f t="shared" si="7"/>
        <v>47.81</v>
      </c>
      <c r="J79" s="104"/>
      <c r="K79" s="36">
        <f t="shared" si="8"/>
        <v>0</v>
      </c>
      <c r="L79" s="97"/>
      <c r="M79" s="37"/>
    </row>
    <row r="80" spans="1:13" hidden="1" outlineLevel="1" x14ac:dyDescent="0.25">
      <c r="A80" s="43">
        <v>12.7</v>
      </c>
      <c r="B80" s="35" t="s">
        <v>83</v>
      </c>
      <c r="C80" s="29" t="s">
        <v>13</v>
      </c>
      <c r="D80" s="121">
        <f>38.5+14.31</f>
        <v>52.81</v>
      </c>
      <c r="E80" s="120">
        <v>1</v>
      </c>
      <c r="F80" s="114">
        <f t="shared" si="9"/>
        <v>52.81</v>
      </c>
      <c r="G80" s="104"/>
      <c r="H80" s="104">
        <v>1</v>
      </c>
      <c r="I80" s="129">
        <f t="shared" si="7"/>
        <v>52.81</v>
      </c>
      <c r="J80" s="104"/>
      <c r="K80" s="36">
        <f t="shared" si="8"/>
        <v>0</v>
      </c>
      <c r="L80" s="97"/>
      <c r="M80" s="37"/>
    </row>
    <row r="81" spans="1:13" ht="16.5" collapsed="1" thickBot="1" x14ac:dyDescent="0.3">
      <c r="A81" s="123"/>
      <c r="B81" s="127" t="s">
        <v>23</v>
      </c>
      <c r="C81" s="123"/>
      <c r="D81" s="123"/>
      <c r="E81" s="128"/>
      <c r="F81" s="128"/>
      <c r="G81" s="131">
        <f>+SUM(G6:G80)</f>
        <v>19131.566800000004</v>
      </c>
      <c r="H81" s="132"/>
      <c r="I81" s="132"/>
      <c r="J81" s="131">
        <f>+SUM(J6:J80)</f>
        <v>21097.3488</v>
      </c>
      <c r="L81" s="131">
        <f>+G81-J81</f>
        <v>-1965.7819999999956</v>
      </c>
      <c r="M81" s="37">
        <f>+L81/J81</f>
        <v>-9.3176731286729056E-2</v>
      </c>
    </row>
    <row r="82" spans="1:13" x14ac:dyDescent="0.25">
      <c r="A82" s="2" t="s">
        <v>195</v>
      </c>
      <c r="C82" s="35"/>
      <c r="D82" s="29"/>
      <c r="E82" s="35"/>
      <c r="F82" s="35"/>
      <c r="G82" s="33"/>
    </row>
    <row r="91" spans="1:13" x14ac:dyDescent="0.25">
      <c r="K91" s="3" t="s">
        <v>21</v>
      </c>
    </row>
    <row r="92" spans="1:13" x14ac:dyDescent="0.25">
      <c r="K92" s="3" t="s">
        <v>10</v>
      </c>
    </row>
    <row r="123" spans="6:7" x14ac:dyDescent="0.25">
      <c r="F123" s="34"/>
      <c r="G123" s="34"/>
    </row>
    <row r="127" spans="6:7" ht="21.75" customHeight="1" x14ac:dyDescent="0.25"/>
    <row r="135" spans="1:7" x14ac:dyDescent="0.25">
      <c r="F135" s="47"/>
      <c r="G135" s="47"/>
    </row>
    <row r="136" spans="1:7" x14ac:dyDescent="0.25">
      <c r="F136" s="47"/>
      <c r="G136" s="47"/>
    </row>
    <row r="143" spans="1:7" x14ac:dyDescent="0.25">
      <c r="A143" s="29"/>
    </row>
    <row r="144" spans="1:7" x14ac:dyDescent="0.25">
      <c r="A144" s="29"/>
    </row>
    <row r="145" spans="1:1" x14ac:dyDescent="0.25">
      <c r="A145" s="29"/>
    </row>
    <row r="146" spans="1:1" x14ac:dyDescent="0.25">
      <c r="A146" s="29"/>
    </row>
    <row r="147" spans="1:1" x14ac:dyDescent="0.25">
      <c r="A147" s="29"/>
    </row>
    <row r="148" spans="1:1" x14ac:dyDescent="0.25">
      <c r="A148" s="29"/>
    </row>
    <row r="149" spans="1:1" x14ac:dyDescent="0.25">
      <c r="A149" s="29"/>
    </row>
    <row r="150" spans="1:1" x14ac:dyDescent="0.25">
      <c r="A150" s="29"/>
    </row>
    <row r="151" spans="1:1" x14ac:dyDescent="0.25">
      <c r="A151" s="29"/>
    </row>
    <row r="152" spans="1:1" x14ac:dyDescent="0.25">
      <c r="A152" s="29"/>
    </row>
    <row r="153" spans="1:1" x14ac:dyDescent="0.25">
      <c r="A153" s="29"/>
    </row>
    <row r="154" spans="1:1" x14ac:dyDescent="0.25">
      <c r="A154" s="29"/>
    </row>
    <row r="155" spans="1:1" x14ac:dyDescent="0.25">
      <c r="A155" s="29"/>
    </row>
    <row r="156" spans="1:1" x14ac:dyDescent="0.25">
      <c r="A156" s="29"/>
    </row>
    <row r="157" spans="1:1" x14ac:dyDescent="0.25">
      <c r="A157" s="29"/>
    </row>
    <row r="158" spans="1:1" x14ac:dyDescent="0.25">
      <c r="A158" s="29"/>
    </row>
    <row r="159" spans="1:1" x14ac:dyDescent="0.25">
      <c r="A159" s="29"/>
    </row>
    <row r="160" spans="1:1" x14ac:dyDescent="0.25">
      <c r="A160" s="29"/>
    </row>
    <row r="161" spans="1:1" x14ac:dyDescent="0.25">
      <c r="A161" s="29"/>
    </row>
    <row r="162" spans="1:1" x14ac:dyDescent="0.25">
      <c r="A162" s="29"/>
    </row>
    <row r="163" spans="1:1" x14ac:dyDescent="0.25">
      <c r="A163" s="29"/>
    </row>
    <row r="164" spans="1:1" x14ac:dyDescent="0.25">
      <c r="A164" s="29"/>
    </row>
    <row r="165" spans="1:1" x14ac:dyDescent="0.25">
      <c r="A165" s="29"/>
    </row>
    <row r="166" spans="1:1" x14ac:dyDescent="0.25">
      <c r="A166" s="29"/>
    </row>
    <row r="167" spans="1:1" x14ac:dyDescent="0.25">
      <c r="A167" s="29"/>
    </row>
    <row r="168" spans="1:1" x14ac:dyDescent="0.25">
      <c r="A168" s="29"/>
    </row>
    <row r="169" spans="1:1" x14ac:dyDescent="0.25">
      <c r="A169" s="29"/>
    </row>
    <row r="170" spans="1:1" x14ac:dyDescent="0.25">
      <c r="A170" s="29"/>
    </row>
  </sheetData>
  <mergeCells count="10">
    <mergeCell ref="A1:J1"/>
    <mergeCell ref="H3:H4"/>
    <mergeCell ref="I3:J3"/>
    <mergeCell ref="H2:J2"/>
    <mergeCell ref="A3:A4"/>
    <mergeCell ref="B3:B4"/>
    <mergeCell ref="C3:C4"/>
    <mergeCell ref="E3:E4"/>
    <mergeCell ref="F3:G3"/>
    <mergeCell ref="D3:D4"/>
  </mergeCells>
  <conditionalFormatting sqref="K10:K8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zoomScale="81" zoomScaleNormal="81" workbookViewId="0">
      <selection activeCell="A21" sqref="A21"/>
    </sheetView>
  </sheetViews>
  <sheetFormatPr baseColWidth="10" defaultRowHeight="15.75" x14ac:dyDescent="0.25"/>
  <cols>
    <col min="1" max="1" width="41.42578125" style="2" customWidth="1"/>
    <col min="2" max="2" width="14.42578125" style="2" customWidth="1"/>
    <col min="3" max="12" width="11.140625" style="2" customWidth="1"/>
    <col min="13" max="13" width="16.28515625" style="2" customWidth="1"/>
    <col min="14" max="15" width="11.42578125" style="2"/>
    <col min="16" max="16" width="11.7109375" style="2" bestFit="1" customWidth="1"/>
    <col min="17" max="17" width="12.28515625" style="2" customWidth="1"/>
    <col min="18" max="248" width="11.42578125" style="2"/>
    <col min="249" max="249" width="32.42578125" style="2" customWidth="1"/>
    <col min="250" max="250" width="13.28515625" style="2" customWidth="1"/>
    <col min="251" max="251" width="11.85546875" style="2" customWidth="1"/>
    <col min="252" max="252" width="13.140625" style="2" customWidth="1"/>
    <col min="253" max="253" width="14.42578125" style="2" customWidth="1"/>
    <col min="254" max="254" width="12.85546875" style="2" customWidth="1"/>
    <col min="255" max="260" width="12.28515625" style="2" bestFit="1" customWidth="1"/>
    <col min="261" max="268" width="13.85546875" style="2" bestFit="1" customWidth="1"/>
    <col min="269" max="269" width="16.28515625" style="2" customWidth="1"/>
    <col min="270" max="271" width="11.42578125" style="2"/>
    <col min="272" max="272" width="11.7109375" style="2" bestFit="1" customWidth="1"/>
    <col min="273" max="273" width="12.28515625" style="2" customWidth="1"/>
    <col min="274" max="504" width="11.42578125" style="2"/>
    <col min="505" max="505" width="32.42578125" style="2" customWidth="1"/>
    <col min="506" max="506" width="13.28515625" style="2" customWidth="1"/>
    <col min="507" max="507" width="11.85546875" style="2" customWidth="1"/>
    <col min="508" max="508" width="13.140625" style="2" customWidth="1"/>
    <col min="509" max="509" width="14.42578125" style="2" customWidth="1"/>
    <col min="510" max="510" width="12.85546875" style="2" customWidth="1"/>
    <col min="511" max="516" width="12.28515625" style="2" bestFit="1" customWidth="1"/>
    <col min="517" max="524" width="13.85546875" style="2" bestFit="1" customWidth="1"/>
    <col min="525" max="525" width="16.28515625" style="2" customWidth="1"/>
    <col min="526" max="527" width="11.42578125" style="2"/>
    <col min="528" max="528" width="11.7109375" style="2" bestFit="1" customWidth="1"/>
    <col min="529" max="529" width="12.28515625" style="2" customWidth="1"/>
    <col min="530" max="760" width="11.42578125" style="2"/>
    <col min="761" max="761" width="32.42578125" style="2" customWidth="1"/>
    <col min="762" max="762" width="13.28515625" style="2" customWidth="1"/>
    <col min="763" max="763" width="11.85546875" style="2" customWidth="1"/>
    <col min="764" max="764" width="13.140625" style="2" customWidth="1"/>
    <col min="765" max="765" width="14.42578125" style="2" customWidth="1"/>
    <col min="766" max="766" width="12.85546875" style="2" customWidth="1"/>
    <col min="767" max="772" width="12.28515625" style="2" bestFit="1" customWidth="1"/>
    <col min="773" max="780" width="13.85546875" style="2" bestFit="1" customWidth="1"/>
    <col min="781" max="781" width="16.28515625" style="2" customWidth="1"/>
    <col min="782" max="783" width="11.42578125" style="2"/>
    <col min="784" max="784" width="11.7109375" style="2" bestFit="1" customWidth="1"/>
    <col min="785" max="785" width="12.28515625" style="2" customWidth="1"/>
    <col min="786" max="1016" width="11.42578125" style="2"/>
    <col min="1017" max="1017" width="32.42578125" style="2" customWidth="1"/>
    <col min="1018" max="1018" width="13.28515625" style="2" customWidth="1"/>
    <col min="1019" max="1019" width="11.85546875" style="2" customWidth="1"/>
    <col min="1020" max="1020" width="13.140625" style="2" customWidth="1"/>
    <col min="1021" max="1021" width="14.42578125" style="2" customWidth="1"/>
    <col min="1022" max="1022" width="12.85546875" style="2" customWidth="1"/>
    <col min="1023" max="1028" width="12.28515625" style="2" bestFit="1" customWidth="1"/>
    <col min="1029" max="1036" width="13.85546875" style="2" bestFit="1" customWidth="1"/>
    <col min="1037" max="1037" width="16.28515625" style="2" customWidth="1"/>
    <col min="1038" max="1039" width="11.42578125" style="2"/>
    <col min="1040" max="1040" width="11.7109375" style="2" bestFit="1" customWidth="1"/>
    <col min="1041" max="1041" width="12.28515625" style="2" customWidth="1"/>
    <col min="1042" max="1272" width="11.42578125" style="2"/>
    <col min="1273" max="1273" width="32.42578125" style="2" customWidth="1"/>
    <col min="1274" max="1274" width="13.28515625" style="2" customWidth="1"/>
    <col min="1275" max="1275" width="11.85546875" style="2" customWidth="1"/>
    <col min="1276" max="1276" width="13.140625" style="2" customWidth="1"/>
    <col min="1277" max="1277" width="14.42578125" style="2" customWidth="1"/>
    <col min="1278" max="1278" width="12.85546875" style="2" customWidth="1"/>
    <col min="1279" max="1284" width="12.28515625" style="2" bestFit="1" customWidth="1"/>
    <col min="1285" max="1292" width="13.85546875" style="2" bestFit="1" customWidth="1"/>
    <col min="1293" max="1293" width="16.28515625" style="2" customWidth="1"/>
    <col min="1294" max="1295" width="11.42578125" style="2"/>
    <col min="1296" max="1296" width="11.7109375" style="2" bestFit="1" customWidth="1"/>
    <col min="1297" max="1297" width="12.28515625" style="2" customWidth="1"/>
    <col min="1298" max="1528" width="11.42578125" style="2"/>
    <col min="1529" max="1529" width="32.42578125" style="2" customWidth="1"/>
    <col min="1530" max="1530" width="13.28515625" style="2" customWidth="1"/>
    <col min="1531" max="1531" width="11.85546875" style="2" customWidth="1"/>
    <col min="1532" max="1532" width="13.140625" style="2" customWidth="1"/>
    <col min="1533" max="1533" width="14.42578125" style="2" customWidth="1"/>
    <col min="1534" max="1534" width="12.85546875" style="2" customWidth="1"/>
    <col min="1535" max="1540" width="12.28515625" style="2" bestFit="1" customWidth="1"/>
    <col min="1541" max="1548" width="13.85546875" style="2" bestFit="1" customWidth="1"/>
    <col min="1549" max="1549" width="16.28515625" style="2" customWidth="1"/>
    <col min="1550" max="1551" width="11.42578125" style="2"/>
    <col min="1552" max="1552" width="11.7109375" style="2" bestFit="1" customWidth="1"/>
    <col min="1553" max="1553" width="12.28515625" style="2" customWidth="1"/>
    <col min="1554" max="1784" width="11.42578125" style="2"/>
    <col min="1785" max="1785" width="32.42578125" style="2" customWidth="1"/>
    <col min="1786" max="1786" width="13.28515625" style="2" customWidth="1"/>
    <col min="1787" max="1787" width="11.85546875" style="2" customWidth="1"/>
    <col min="1788" max="1788" width="13.140625" style="2" customWidth="1"/>
    <col min="1789" max="1789" width="14.42578125" style="2" customWidth="1"/>
    <col min="1790" max="1790" width="12.85546875" style="2" customWidth="1"/>
    <col min="1791" max="1796" width="12.28515625" style="2" bestFit="1" customWidth="1"/>
    <col min="1797" max="1804" width="13.85546875" style="2" bestFit="1" customWidth="1"/>
    <col min="1805" max="1805" width="16.28515625" style="2" customWidth="1"/>
    <col min="1806" max="1807" width="11.42578125" style="2"/>
    <col min="1808" max="1808" width="11.7109375" style="2" bestFit="1" customWidth="1"/>
    <col min="1809" max="1809" width="12.28515625" style="2" customWidth="1"/>
    <col min="1810" max="2040" width="11.42578125" style="2"/>
    <col min="2041" max="2041" width="32.42578125" style="2" customWidth="1"/>
    <col min="2042" max="2042" width="13.28515625" style="2" customWidth="1"/>
    <col min="2043" max="2043" width="11.85546875" style="2" customWidth="1"/>
    <col min="2044" max="2044" width="13.140625" style="2" customWidth="1"/>
    <col min="2045" max="2045" width="14.42578125" style="2" customWidth="1"/>
    <col min="2046" max="2046" width="12.85546875" style="2" customWidth="1"/>
    <col min="2047" max="2052" width="12.28515625" style="2" bestFit="1" customWidth="1"/>
    <col min="2053" max="2060" width="13.85546875" style="2" bestFit="1" customWidth="1"/>
    <col min="2061" max="2061" width="16.28515625" style="2" customWidth="1"/>
    <col min="2062" max="2063" width="11.42578125" style="2"/>
    <col min="2064" max="2064" width="11.7109375" style="2" bestFit="1" customWidth="1"/>
    <col min="2065" max="2065" width="12.28515625" style="2" customWidth="1"/>
    <col min="2066" max="2296" width="11.42578125" style="2"/>
    <col min="2297" max="2297" width="32.42578125" style="2" customWidth="1"/>
    <col min="2298" max="2298" width="13.28515625" style="2" customWidth="1"/>
    <col min="2299" max="2299" width="11.85546875" style="2" customWidth="1"/>
    <col min="2300" max="2300" width="13.140625" style="2" customWidth="1"/>
    <col min="2301" max="2301" width="14.42578125" style="2" customWidth="1"/>
    <col min="2302" max="2302" width="12.85546875" style="2" customWidth="1"/>
    <col min="2303" max="2308" width="12.28515625" style="2" bestFit="1" customWidth="1"/>
    <col min="2309" max="2316" width="13.85546875" style="2" bestFit="1" customWidth="1"/>
    <col min="2317" max="2317" width="16.28515625" style="2" customWidth="1"/>
    <col min="2318" max="2319" width="11.42578125" style="2"/>
    <col min="2320" max="2320" width="11.7109375" style="2" bestFit="1" customWidth="1"/>
    <col min="2321" max="2321" width="12.28515625" style="2" customWidth="1"/>
    <col min="2322" max="2552" width="11.42578125" style="2"/>
    <col min="2553" max="2553" width="32.42578125" style="2" customWidth="1"/>
    <col min="2554" max="2554" width="13.28515625" style="2" customWidth="1"/>
    <col min="2555" max="2555" width="11.85546875" style="2" customWidth="1"/>
    <col min="2556" max="2556" width="13.140625" style="2" customWidth="1"/>
    <col min="2557" max="2557" width="14.42578125" style="2" customWidth="1"/>
    <col min="2558" max="2558" width="12.85546875" style="2" customWidth="1"/>
    <col min="2559" max="2564" width="12.28515625" style="2" bestFit="1" customWidth="1"/>
    <col min="2565" max="2572" width="13.85546875" style="2" bestFit="1" customWidth="1"/>
    <col min="2573" max="2573" width="16.28515625" style="2" customWidth="1"/>
    <col min="2574" max="2575" width="11.42578125" style="2"/>
    <col min="2576" max="2576" width="11.7109375" style="2" bestFit="1" customWidth="1"/>
    <col min="2577" max="2577" width="12.28515625" style="2" customWidth="1"/>
    <col min="2578" max="2808" width="11.42578125" style="2"/>
    <col min="2809" max="2809" width="32.42578125" style="2" customWidth="1"/>
    <col min="2810" max="2810" width="13.28515625" style="2" customWidth="1"/>
    <col min="2811" max="2811" width="11.85546875" style="2" customWidth="1"/>
    <col min="2812" max="2812" width="13.140625" style="2" customWidth="1"/>
    <col min="2813" max="2813" width="14.42578125" style="2" customWidth="1"/>
    <col min="2814" max="2814" width="12.85546875" style="2" customWidth="1"/>
    <col min="2815" max="2820" width="12.28515625" style="2" bestFit="1" customWidth="1"/>
    <col min="2821" max="2828" width="13.85546875" style="2" bestFit="1" customWidth="1"/>
    <col min="2829" max="2829" width="16.28515625" style="2" customWidth="1"/>
    <col min="2830" max="2831" width="11.42578125" style="2"/>
    <col min="2832" max="2832" width="11.7109375" style="2" bestFit="1" customWidth="1"/>
    <col min="2833" max="2833" width="12.28515625" style="2" customWidth="1"/>
    <col min="2834" max="3064" width="11.42578125" style="2"/>
    <col min="3065" max="3065" width="32.42578125" style="2" customWidth="1"/>
    <col min="3066" max="3066" width="13.28515625" style="2" customWidth="1"/>
    <col min="3067" max="3067" width="11.85546875" style="2" customWidth="1"/>
    <col min="3068" max="3068" width="13.140625" style="2" customWidth="1"/>
    <col min="3069" max="3069" width="14.42578125" style="2" customWidth="1"/>
    <col min="3070" max="3070" width="12.85546875" style="2" customWidth="1"/>
    <col min="3071" max="3076" width="12.28515625" style="2" bestFit="1" customWidth="1"/>
    <col min="3077" max="3084" width="13.85546875" style="2" bestFit="1" customWidth="1"/>
    <col min="3085" max="3085" width="16.28515625" style="2" customWidth="1"/>
    <col min="3086" max="3087" width="11.42578125" style="2"/>
    <col min="3088" max="3088" width="11.7109375" style="2" bestFit="1" customWidth="1"/>
    <col min="3089" max="3089" width="12.28515625" style="2" customWidth="1"/>
    <col min="3090" max="3320" width="11.42578125" style="2"/>
    <col min="3321" max="3321" width="32.42578125" style="2" customWidth="1"/>
    <col min="3322" max="3322" width="13.28515625" style="2" customWidth="1"/>
    <col min="3323" max="3323" width="11.85546875" style="2" customWidth="1"/>
    <col min="3324" max="3324" width="13.140625" style="2" customWidth="1"/>
    <col min="3325" max="3325" width="14.42578125" style="2" customWidth="1"/>
    <col min="3326" max="3326" width="12.85546875" style="2" customWidth="1"/>
    <col min="3327" max="3332" width="12.28515625" style="2" bestFit="1" customWidth="1"/>
    <col min="3333" max="3340" width="13.85546875" style="2" bestFit="1" customWidth="1"/>
    <col min="3341" max="3341" width="16.28515625" style="2" customWidth="1"/>
    <col min="3342" max="3343" width="11.42578125" style="2"/>
    <col min="3344" max="3344" width="11.7109375" style="2" bestFit="1" customWidth="1"/>
    <col min="3345" max="3345" width="12.28515625" style="2" customWidth="1"/>
    <col min="3346" max="3576" width="11.42578125" style="2"/>
    <col min="3577" max="3577" width="32.42578125" style="2" customWidth="1"/>
    <col min="3578" max="3578" width="13.28515625" style="2" customWidth="1"/>
    <col min="3579" max="3579" width="11.85546875" style="2" customWidth="1"/>
    <col min="3580" max="3580" width="13.140625" style="2" customWidth="1"/>
    <col min="3581" max="3581" width="14.42578125" style="2" customWidth="1"/>
    <col min="3582" max="3582" width="12.85546875" style="2" customWidth="1"/>
    <col min="3583" max="3588" width="12.28515625" style="2" bestFit="1" customWidth="1"/>
    <col min="3589" max="3596" width="13.85546875" style="2" bestFit="1" customWidth="1"/>
    <col min="3597" max="3597" width="16.28515625" style="2" customWidth="1"/>
    <col min="3598" max="3599" width="11.42578125" style="2"/>
    <col min="3600" max="3600" width="11.7109375" style="2" bestFit="1" customWidth="1"/>
    <col min="3601" max="3601" width="12.28515625" style="2" customWidth="1"/>
    <col min="3602" max="3832" width="11.42578125" style="2"/>
    <col min="3833" max="3833" width="32.42578125" style="2" customWidth="1"/>
    <col min="3834" max="3834" width="13.28515625" style="2" customWidth="1"/>
    <col min="3835" max="3835" width="11.85546875" style="2" customWidth="1"/>
    <col min="3836" max="3836" width="13.140625" style="2" customWidth="1"/>
    <col min="3837" max="3837" width="14.42578125" style="2" customWidth="1"/>
    <col min="3838" max="3838" width="12.85546875" style="2" customWidth="1"/>
    <col min="3839" max="3844" width="12.28515625" style="2" bestFit="1" customWidth="1"/>
    <col min="3845" max="3852" width="13.85546875" style="2" bestFit="1" customWidth="1"/>
    <col min="3853" max="3853" width="16.28515625" style="2" customWidth="1"/>
    <col min="3854" max="3855" width="11.42578125" style="2"/>
    <col min="3856" max="3856" width="11.7109375" style="2" bestFit="1" customWidth="1"/>
    <col min="3857" max="3857" width="12.28515625" style="2" customWidth="1"/>
    <col min="3858" max="4088" width="11.42578125" style="2"/>
    <col min="4089" max="4089" width="32.42578125" style="2" customWidth="1"/>
    <col min="4090" max="4090" width="13.28515625" style="2" customWidth="1"/>
    <col min="4091" max="4091" width="11.85546875" style="2" customWidth="1"/>
    <col min="4092" max="4092" width="13.140625" style="2" customWidth="1"/>
    <col min="4093" max="4093" width="14.42578125" style="2" customWidth="1"/>
    <col min="4094" max="4094" width="12.85546875" style="2" customWidth="1"/>
    <col min="4095" max="4100" width="12.28515625" style="2" bestFit="1" customWidth="1"/>
    <col min="4101" max="4108" width="13.85546875" style="2" bestFit="1" customWidth="1"/>
    <col min="4109" max="4109" width="16.28515625" style="2" customWidth="1"/>
    <col min="4110" max="4111" width="11.42578125" style="2"/>
    <col min="4112" max="4112" width="11.7109375" style="2" bestFit="1" customWidth="1"/>
    <col min="4113" max="4113" width="12.28515625" style="2" customWidth="1"/>
    <col min="4114" max="4344" width="11.42578125" style="2"/>
    <col min="4345" max="4345" width="32.42578125" style="2" customWidth="1"/>
    <col min="4346" max="4346" width="13.28515625" style="2" customWidth="1"/>
    <col min="4347" max="4347" width="11.85546875" style="2" customWidth="1"/>
    <col min="4348" max="4348" width="13.140625" style="2" customWidth="1"/>
    <col min="4349" max="4349" width="14.42578125" style="2" customWidth="1"/>
    <col min="4350" max="4350" width="12.85546875" style="2" customWidth="1"/>
    <col min="4351" max="4356" width="12.28515625" style="2" bestFit="1" customWidth="1"/>
    <col min="4357" max="4364" width="13.85546875" style="2" bestFit="1" customWidth="1"/>
    <col min="4365" max="4365" width="16.28515625" style="2" customWidth="1"/>
    <col min="4366" max="4367" width="11.42578125" style="2"/>
    <col min="4368" max="4368" width="11.7109375" style="2" bestFit="1" customWidth="1"/>
    <col min="4369" max="4369" width="12.28515625" style="2" customWidth="1"/>
    <col min="4370" max="4600" width="11.42578125" style="2"/>
    <col min="4601" max="4601" width="32.42578125" style="2" customWidth="1"/>
    <col min="4602" max="4602" width="13.28515625" style="2" customWidth="1"/>
    <col min="4603" max="4603" width="11.85546875" style="2" customWidth="1"/>
    <col min="4604" max="4604" width="13.140625" style="2" customWidth="1"/>
    <col min="4605" max="4605" width="14.42578125" style="2" customWidth="1"/>
    <col min="4606" max="4606" width="12.85546875" style="2" customWidth="1"/>
    <col min="4607" max="4612" width="12.28515625" style="2" bestFit="1" customWidth="1"/>
    <col min="4613" max="4620" width="13.85546875" style="2" bestFit="1" customWidth="1"/>
    <col min="4621" max="4621" width="16.28515625" style="2" customWidth="1"/>
    <col min="4622" max="4623" width="11.42578125" style="2"/>
    <col min="4624" max="4624" width="11.7109375" style="2" bestFit="1" customWidth="1"/>
    <col min="4625" max="4625" width="12.28515625" style="2" customWidth="1"/>
    <col min="4626" max="4856" width="11.42578125" style="2"/>
    <col min="4857" max="4857" width="32.42578125" style="2" customWidth="1"/>
    <col min="4858" max="4858" width="13.28515625" style="2" customWidth="1"/>
    <col min="4859" max="4859" width="11.85546875" style="2" customWidth="1"/>
    <col min="4860" max="4860" width="13.140625" style="2" customWidth="1"/>
    <col min="4861" max="4861" width="14.42578125" style="2" customWidth="1"/>
    <col min="4862" max="4862" width="12.85546875" style="2" customWidth="1"/>
    <col min="4863" max="4868" width="12.28515625" style="2" bestFit="1" customWidth="1"/>
    <col min="4869" max="4876" width="13.85546875" style="2" bestFit="1" customWidth="1"/>
    <col min="4877" max="4877" width="16.28515625" style="2" customWidth="1"/>
    <col min="4878" max="4879" width="11.42578125" style="2"/>
    <col min="4880" max="4880" width="11.7109375" style="2" bestFit="1" customWidth="1"/>
    <col min="4881" max="4881" width="12.28515625" style="2" customWidth="1"/>
    <col min="4882" max="5112" width="11.42578125" style="2"/>
    <col min="5113" max="5113" width="32.42578125" style="2" customWidth="1"/>
    <col min="5114" max="5114" width="13.28515625" style="2" customWidth="1"/>
    <col min="5115" max="5115" width="11.85546875" style="2" customWidth="1"/>
    <col min="5116" max="5116" width="13.140625" style="2" customWidth="1"/>
    <col min="5117" max="5117" width="14.42578125" style="2" customWidth="1"/>
    <col min="5118" max="5118" width="12.85546875" style="2" customWidth="1"/>
    <col min="5119" max="5124" width="12.28515625" style="2" bestFit="1" customWidth="1"/>
    <col min="5125" max="5132" width="13.85546875" style="2" bestFit="1" customWidth="1"/>
    <col min="5133" max="5133" width="16.28515625" style="2" customWidth="1"/>
    <col min="5134" max="5135" width="11.42578125" style="2"/>
    <col min="5136" max="5136" width="11.7109375" style="2" bestFit="1" customWidth="1"/>
    <col min="5137" max="5137" width="12.28515625" style="2" customWidth="1"/>
    <col min="5138" max="5368" width="11.42578125" style="2"/>
    <col min="5369" max="5369" width="32.42578125" style="2" customWidth="1"/>
    <col min="5370" max="5370" width="13.28515625" style="2" customWidth="1"/>
    <col min="5371" max="5371" width="11.85546875" style="2" customWidth="1"/>
    <col min="5372" max="5372" width="13.140625" style="2" customWidth="1"/>
    <col min="5373" max="5373" width="14.42578125" style="2" customWidth="1"/>
    <col min="5374" max="5374" width="12.85546875" style="2" customWidth="1"/>
    <col min="5375" max="5380" width="12.28515625" style="2" bestFit="1" customWidth="1"/>
    <col min="5381" max="5388" width="13.85546875" style="2" bestFit="1" customWidth="1"/>
    <col min="5389" max="5389" width="16.28515625" style="2" customWidth="1"/>
    <col min="5390" max="5391" width="11.42578125" style="2"/>
    <col min="5392" max="5392" width="11.7109375" style="2" bestFit="1" customWidth="1"/>
    <col min="5393" max="5393" width="12.28515625" style="2" customWidth="1"/>
    <col min="5394" max="5624" width="11.42578125" style="2"/>
    <col min="5625" max="5625" width="32.42578125" style="2" customWidth="1"/>
    <col min="5626" max="5626" width="13.28515625" style="2" customWidth="1"/>
    <col min="5627" max="5627" width="11.85546875" style="2" customWidth="1"/>
    <col min="5628" max="5628" width="13.140625" style="2" customWidth="1"/>
    <col min="5629" max="5629" width="14.42578125" style="2" customWidth="1"/>
    <col min="5630" max="5630" width="12.85546875" style="2" customWidth="1"/>
    <col min="5631" max="5636" width="12.28515625" style="2" bestFit="1" customWidth="1"/>
    <col min="5637" max="5644" width="13.85546875" style="2" bestFit="1" customWidth="1"/>
    <col min="5645" max="5645" width="16.28515625" style="2" customWidth="1"/>
    <col min="5646" max="5647" width="11.42578125" style="2"/>
    <col min="5648" max="5648" width="11.7109375" style="2" bestFit="1" customWidth="1"/>
    <col min="5649" max="5649" width="12.28515625" style="2" customWidth="1"/>
    <col min="5650" max="5880" width="11.42578125" style="2"/>
    <col min="5881" max="5881" width="32.42578125" style="2" customWidth="1"/>
    <col min="5882" max="5882" width="13.28515625" style="2" customWidth="1"/>
    <col min="5883" max="5883" width="11.85546875" style="2" customWidth="1"/>
    <col min="5884" max="5884" width="13.140625" style="2" customWidth="1"/>
    <col min="5885" max="5885" width="14.42578125" style="2" customWidth="1"/>
    <col min="5886" max="5886" width="12.85546875" style="2" customWidth="1"/>
    <col min="5887" max="5892" width="12.28515625" style="2" bestFit="1" customWidth="1"/>
    <col min="5893" max="5900" width="13.85546875" style="2" bestFit="1" customWidth="1"/>
    <col min="5901" max="5901" width="16.28515625" style="2" customWidth="1"/>
    <col min="5902" max="5903" width="11.42578125" style="2"/>
    <col min="5904" max="5904" width="11.7109375" style="2" bestFit="1" customWidth="1"/>
    <col min="5905" max="5905" width="12.28515625" style="2" customWidth="1"/>
    <col min="5906" max="6136" width="11.42578125" style="2"/>
    <col min="6137" max="6137" width="32.42578125" style="2" customWidth="1"/>
    <col min="6138" max="6138" width="13.28515625" style="2" customWidth="1"/>
    <col min="6139" max="6139" width="11.85546875" style="2" customWidth="1"/>
    <col min="6140" max="6140" width="13.140625" style="2" customWidth="1"/>
    <col min="6141" max="6141" width="14.42578125" style="2" customWidth="1"/>
    <col min="6142" max="6142" width="12.85546875" style="2" customWidth="1"/>
    <col min="6143" max="6148" width="12.28515625" style="2" bestFit="1" customWidth="1"/>
    <col min="6149" max="6156" width="13.85546875" style="2" bestFit="1" customWidth="1"/>
    <col min="6157" max="6157" width="16.28515625" style="2" customWidth="1"/>
    <col min="6158" max="6159" width="11.42578125" style="2"/>
    <col min="6160" max="6160" width="11.7109375" style="2" bestFit="1" customWidth="1"/>
    <col min="6161" max="6161" width="12.28515625" style="2" customWidth="1"/>
    <col min="6162" max="6392" width="11.42578125" style="2"/>
    <col min="6393" max="6393" width="32.42578125" style="2" customWidth="1"/>
    <col min="6394" max="6394" width="13.28515625" style="2" customWidth="1"/>
    <col min="6395" max="6395" width="11.85546875" style="2" customWidth="1"/>
    <col min="6396" max="6396" width="13.140625" style="2" customWidth="1"/>
    <col min="6397" max="6397" width="14.42578125" style="2" customWidth="1"/>
    <col min="6398" max="6398" width="12.85546875" style="2" customWidth="1"/>
    <col min="6399" max="6404" width="12.28515625" style="2" bestFit="1" customWidth="1"/>
    <col min="6405" max="6412" width="13.85546875" style="2" bestFit="1" customWidth="1"/>
    <col min="6413" max="6413" width="16.28515625" style="2" customWidth="1"/>
    <col min="6414" max="6415" width="11.42578125" style="2"/>
    <col min="6416" max="6416" width="11.7109375" style="2" bestFit="1" customWidth="1"/>
    <col min="6417" max="6417" width="12.28515625" style="2" customWidth="1"/>
    <col min="6418" max="6648" width="11.42578125" style="2"/>
    <col min="6649" max="6649" width="32.42578125" style="2" customWidth="1"/>
    <col min="6650" max="6650" width="13.28515625" style="2" customWidth="1"/>
    <col min="6651" max="6651" width="11.85546875" style="2" customWidth="1"/>
    <col min="6652" max="6652" width="13.140625" style="2" customWidth="1"/>
    <col min="6653" max="6653" width="14.42578125" style="2" customWidth="1"/>
    <col min="6654" max="6654" width="12.85546875" style="2" customWidth="1"/>
    <col min="6655" max="6660" width="12.28515625" style="2" bestFit="1" customWidth="1"/>
    <col min="6661" max="6668" width="13.85546875" style="2" bestFit="1" customWidth="1"/>
    <col min="6669" max="6669" width="16.28515625" style="2" customWidth="1"/>
    <col min="6670" max="6671" width="11.42578125" style="2"/>
    <col min="6672" max="6672" width="11.7109375" style="2" bestFit="1" customWidth="1"/>
    <col min="6673" max="6673" width="12.28515625" style="2" customWidth="1"/>
    <col min="6674" max="6904" width="11.42578125" style="2"/>
    <col min="6905" max="6905" width="32.42578125" style="2" customWidth="1"/>
    <col min="6906" max="6906" width="13.28515625" style="2" customWidth="1"/>
    <col min="6907" max="6907" width="11.85546875" style="2" customWidth="1"/>
    <col min="6908" max="6908" width="13.140625" style="2" customWidth="1"/>
    <col min="6909" max="6909" width="14.42578125" style="2" customWidth="1"/>
    <col min="6910" max="6910" width="12.85546875" style="2" customWidth="1"/>
    <col min="6911" max="6916" width="12.28515625" style="2" bestFit="1" customWidth="1"/>
    <col min="6917" max="6924" width="13.85546875" style="2" bestFit="1" customWidth="1"/>
    <col min="6925" max="6925" width="16.28515625" style="2" customWidth="1"/>
    <col min="6926" max="6927" width="11.42578125" style="2"/>
    <col min="6928" max="6928" width="11.7109375" style="2" bestFit="1" customWidth="1"/>
    <col min="6929" max="6929" width="12.28515625" style="2" customWidth="1"/>
    <col min="6930" max="7160" width="11.42578125" style="2"/>
    <col min="7161" max="7161" width="32.42578125" style="2" customWidth="1"/>
    <col min="7162" max="7162" width="13.28515625" style="2" customWidth="1"/>
    <col min="7163" max="7163" width="11.85546875" style="2" customWidth="1"/>
    <col min="7164" max="7164" width="13.140625" style="2" customWidth="1"/>
    <col min="7165" max="7165" width="14.42578125" style="2" customWidth="1"/>
    <col min="7166" max="7166" width="12.85546875" style="2" customWidth="1"/>
    <col min="7167" max="7172" width="12.28515625" style="2" bestFit="1" customWidth="1"/>
    <col min="7173" max="7180" width="13.85546875" style="2" bestFit="1" customWidth="1"/>
    <col min="7181" max="7181" width="16.28515625" style="2" customWidth="1"/>
    <col min="7182" max="7183" width="11.42578125" style="2"/>
    <col min="7184" max="7184" width="11.7109375" style="2" bestFit="1" customWidth="1"/>
    <col min="7185" max="7185" width="12.28515625" style="2" customWidth="1"/>
    <col min="7186" max="7416" width="11.42578125" style="2"/>
    <col min="7417" max="7417" width="32.42578125" style="2" customWidth="1"/>
    <col min="7418" max="7418" width="13.28515625" style="2" customWidth="1"/>
    <col min="7419" max="7419" width="11.85546875" style="2" customWidth="1"/>
    <col min="7420" max="7420" width="13.140625" style="2" customWidth="1"/>
    <col min="7421" max="7421" width="14.42578125" style="2" customWidth="1"/>
    <col min="7422" max="7422" width="12.85546875" style="2" customWidth="1"/>
    <col min="7423" max="7428" width="12.28515625" style="2" bestFit="1" customWidth="1"/>
    <col min="7429" max="7436" width="13.85546875" style="2" bestFit="1" customWidth="1"/>
    <col min="7437" max="7437" width="16.28515625" style="2" customWidth="1"/>
    <col min="7438" max="7439" width="11.42578125" style="2"/>
    <col min="7440" max="7440" width="11.7109375" style="2" bestFit="1" customWidth="1"/>
    <col min="7441" max="7441" width="12.28515625" style="2" customWidth="1"/>
    <col min="7442" max="7672" width="11.42578125" style="2"/>
    <col min="7673" max="7673" width="32.42578125" style="2" customWidth="1"/>
    <col min="7674" max="7674" width="13.28515625" style="2" customWidth="1"/>
    <col min="7675" max="7675" width="11.85546875" style="2" customWidth="1"/>
    <col min="7676" max="7676" width="13.140625" style="2" customWidth="1"/>
    <col min="7677" max="7677" width="14.42578125" style="2" customWidth="1"/>
    <col min="7678" max="7678" width="12.85546875" style="2" customWidth="1"/>
    <col min="7679" max="7684" width="12.28515625" style="2" bestFit="1" customWidth="1"/>
    <col min="7685" max="7692" width="13.85546875" style="2" bestFit="1" customWidth="1"/>
    <col min="7693" max="7693" width="16.28515625" style="2" customWidth="1"/>
    <col min="7694" max="7695" width="11.42578125" style="2"/>
    <col min="7696" max="7696" width="11.7109375" style="2" bestFit="1" customWidth="1"/>
    <col min="7697" max="7697" width="12.28515625" style="2" customWidth="1"/>
    <col min="7698" max="7928" width="11.42578125" style="2"/>
    <col min="7929" max="7929" width="32.42578125" style="2" customWidth="1"/>
    <col min="7930" max="7930" width="13.28515625" style="2" customWidth="1"/>
    <col min="7931" max="7931" width="11.85546875" style="2" customWidth="1"/>
    <col min="7932" max="7932" width="13.140625" style="2" customWidth="1"/>
    <col min="7933" max="7933" width="14.42578125" style="2" customWidth="1"/>
    <col min="7934" max="7934" width="12.85546875" style="2" customWidth="1"/>
    <col min="7935" max="7940" width="12.28515625" style="2" bestFit="1" customWidth="1"/>
    <col min="7941" max="7948" width="13.85546875" style="2" bestFit="1" customWidth="1"/>
    <col min="7949" max="7949" width="16.28515625" style="2" customWidth="1"/>
    <col min="7950" max="7951" width="11.42578125" style="2"/>
    <col min="7952" max="7952" width="11.7109375" style="2" bestFit="1" customWidth="1"/>
    <col min="7953" max="7953" width="12.28515625" style="2" customWidth="1"/>
    <col min="7954" max="8184" width="11.42578125" style="2"/>
    <col min="8185" max="8185" width="32.42578125" style="2" customWidth="1"/>
    <col min="8186" max="8186" width="13.28515625" style="2" customWidth="1"/>
    <col min="8187" max="8187" width="11.85546875" style="2" customWidth="1"/>
    <col min="8188" max="8188" width="13.140625" style="2" customWidth="1"/>
    <col min="8189" max="8189" width="14.42578125" style="2" customWidth="1"/>
    <col min="8190" max="8190" width="12.85546875" style="2" customWidth="1"/>
    <col min="8191" max="8196" width="12.28515625" style="2" bestFit="1" customWidth="1"/>
    <col min="8197" max="8204" width="13.85546875" style="2" bestFit="1" customWidth="1"/>
    <col min="8205" max="8205" width="16.28515625" style="2" customWidth="1"/>
    <col min="8206" max="8207" width="11.42578125" style="2"/>
    <col min="8208" max="8208" width="11.7109375" style="2" bestFit="1" customWidth="1"/>
    <col min="8209" max="8209" width="12.28515625" style="2" customWidth="1"/>
    <col min="8210" max="8440" width="11.42578125" style="2"/>
    <col min="8441" max="8441" width="32.42578125" style="2" customWidth="1"/>
    <col min="8442" max="8442" width="13.28515625" style="2" customWidth="1"/>
    <col min="8443" max="8443" width="11.85546875" style="2" customWidth="1"/>
    <col min="8444" max="8444" width="13.140625" style="2" customWidth="1"/>
    <col min="8445" max="8445" width="14.42578125" style="2" customWidth="1"/>
    <col min="8446" max="8446" width="12.85546875" style="2" customWidth="1"/>
    <col min="8447" max="8452" width="12.28515625" style="2" bestFit="1" customWidth="1"/>
    <col min="8453" max="8460" width="13.85546875" style="2" bestFit="1" customWidth="1"/>
    <col min="8461" max="8461" width="16.28515625" style="2" customWidth="1"/>
    <col min="8462" max="8463" width="11.42578125" style="2"/>
    <col min="8464" max="8464" width="11.7109375" style="2" bestFit="1" customWidth="1"/>
    <col min="8465" max="8465" width="12.28515625" style="2" customWidth="1"/>
    <col min="8466" max="8696" width="11.42578125" style="2"/>
    <col min="8697" max="8697" width="32.42578125" style="2" customWidth="1"/>
    <col min="8698" max="8698" width="13.28515625" style="2" customWidth="1"/>
    <col min="8699" max="8699" width="11.85546875" style="2" customWidth="1"/>
    <col min="8700" max="8700" width="13.140625" style="2" customWidth="1"/>
    <col min="8701" max="8701" width="14.42578125" style="2" customWidth="1"/>
    <col min="8702" max="8702" width="12.85546875" style="2" customWidth="1"/>
    <col min="8703" max="8708" width="12.28515625" style="2" bestFit="1" customWidth="1"/>
    <col min="8709" max="8716" width="13.85546875" style="2" bestFit="1" customWidth="1"/>
    <col min="8717" max="8717" width="16.28515625" style="2" customWidth="1"/>
    <col min="8718" max="8719" width="11.42578125" style="2"/>
    <col min="8720" max="8720" width="11.7109375" style="2" bestFit="1" customWidth="1"/>
    <col min="8721" max="8721" width="12.28515625" style="2" customWidth="1"/>
    <col min="8722" max="8952" width="11.42578125" style="2"/>
    <col min="8953" max="8953" width="32.42578125" style="2" customWidth="1"/>
    <col min="8954" max="8954" width="13.28515625" style="2" customWidth="1"/>
    <col min="8955" max="8955" width="11.85546875" style="2" customWidth="1"/>
    <col min="8956" max="8956" width="13.140625" style="2" customWidth="1"/>
    <col min="8957" max="8957" width="14.42578125" style="2" customWidth="1"/>
    <col min="8958" max="8958" width="12.85546875" style="2" customWidth="1"/>
    <col min="8959" max="8964" width="12.28515625" style="2" bestFit="1" customWidth="1"/>
    <col min="8965" max="8972" width="13.85546875" style="2" bestFit="1" customWidth="1"/>
    <col min="8973" max="8973" width="16.28515625" style="2" customWidth="1"/>
    <col min="8974" max="8975" width="11.42578125" style="2"/>
    <col min="8976" max="8976" width="11.7109375" style="2" bestFit="1" customWidth="1"/>
    <col min="8977" max="8977" width="12.28515625" style="2" customWidth="1"/>
    <col min="8978" max="9208" width="11.42578125" style="2"/>
    <col min="9209" max="9209" width="32.42578125" style="2" customWidth="1"/>
    <col min="9210" max="9210" width="13.28515625" style="2" customWidth="1"/>
    <col min="9211" max="9211" width="11.85546875" style="2" customWidth="1"/>
    <col min="9212" max="9212" width="13.140625" style="2" customWidth="1"/>
    <col min="9213" max="9213" width="14.42578125" style="2" customWidth="1"/>
    <col min="9214" max="9214" width="12.85546875" style="2" customWidth="1"/>
    <col min="9215" max="9220" width="12.28515625" style="2" bestFit="1" customWidth="1"/>
    <col min="9221" max="9228" width="13.85546875" style="2" bestFit="1" customWidth="1"/>
    <col min="9229" max="9229" width="16.28515625" style="2" customWidth="1"/>
    <col min="9230" max="9231" width="11.42578125" style="2"/>
    <col min="9232" max="9232" width="11.7109375" style="2" bestFit="1" customWidth="1"/>
    <col min="9233" max="9233" width="12.28515625" style="2" customWidth="1"/>
    <col min="9234" max="9464" width="11.42578125" style="2"/>
    <col min="9465" max="9465" width="32.42578125" style="2" customWidth="1"/>
    <col min="9466" max="9466" width="13.28515625" style="2" customWidth="1"/>
    <col min="9467" max="9467" width="11.85546875" style="2" customWidth="1"/>
    <col min="9468" max="9468" width="13.140625" style="2" customWidth="1"/>
    <col min="9469" max="9469" width="14.42578125" style="2" customWidth="1"/>
    <col min="9470" max="9470" width="12.85546875" style="2" customWidth="1"/>
    <col min="9471" max="9476" width="12.28515625" style="2" bestFit="1" customWidth="1"/>
    <col min="9477" max="9484" width="13.85546875" style="2" bestFit="1" customWidth="1"/>
    <col min="9485" max="9485" width="16.28515625" style="2" customWidth="1"/>
    <col min="9486" max="9487" width="11.42578125" style="2"/>
    <col min="9488" max="9488" width="11.7109375" style="2" bestFit="1" customWidth="1"/>
    <col min="9489" max="9489" width="12.28515625" style="2" customWidth="1"/>
    <col min="9490" max="9720" width="11.42578125" style="2"/>
    <col min="9721" max="9721" width="32.42578125" style="2" customWidth="1"/>
    <col min="9722" max="9722" width="13.28515625" style="2" customWidth="1"/>
    <col min="9723" max="9723" width="11.85546875" style="2" customWidth="1"/>
    <col min="9724" max="9724" width="13.140625" style="2" customWidth="1"/>
    <col min="9725" max="9725" width="14.42578125" style="2" customWidth="1"/>
    <col min="9726" max="9726" width="12.85546875" style="2" customWidth="1"/>
    <col min="9727" max="9732" width="12.28515625" style="2" bestFit="1" customWidth="1"/>
    <col min="9733" max="9740" width="13.85546875" style="2" bestFit="1" customWidth="1"/>
    <col min="9741" max="9741" width="16.28515625" style="2" customWidth="1"/>
    <col min="9742" max="9743" width="11.42578125" style="2"/>
    <col min="9744" max="9744" width="11.7109375" style="2" bestFit="1" customWidth="1"/>
    <col min="9745" max="9745" width="12.28515625" style="2" customWidth="1"/>
    <col min="9746" max="9976" width="11.42578125" style="2"/>
    <col min="9977" max="9977" width="32.42578125" style="2" customWidth="1"/>
    <col min="9978" max="9978" width="13.28515625" style="2" customWidth="1"/>
    <col min="9979" max="9979" width="11.85546875" style="2" customWidth="1"/>
    <col min="9980" max="9980" width="13.140625" style="2" customWidth="1"/>
    <col min="9981" max="9981" width="14.42578125" style="2" customWidth="1"/>
    <col min="9982" max="9982" width="12.85546875" style="2" customWidth="1"/>
    <col min="9983" max="9988" width="12.28515625" style="2" bestFit="1" customWidth="1"/>
    <col min="9989" max="9996" width="13.85546875" style="2" bestFit="1" customWidth="1"/>
    <col min="9997" max="9997" width="16.28515625" style="2" customWidth="1"/>
    <col min="9998" max="9999" width="11.42578125" style="2"/>
    <col min="10000" max="10000" width="11.7109375" style="2" bestFit="1" customWidth="1"/>
    <col min="10001" max="10001" width="12.28515625" style="2" customWidth="1"/>
    <col min="10002" max="10232" width="11.42578125" style="2"/>
    <col min="10233" max="10233" width="32.42578125" style="2" customWidth="1"/>
    <col min="10234" max="10234" width="13.28515625" style="2" customWidth="1"/>
    <col min="10235" max="10235" width="11.85546875" style="2" customWidth="1"/>
    <col min="10236" max="10236" width="13.140625" style="2" customWidth="1"/>
    <col min="10237" max="10237" width="14.42578125" style="2" customWidth="1"/>
    <col min="10238" max="10238" width="12.85546875" style="2" customWidth="1"/>
    <col min="10239" max="10244" width="12.28515625" style="2" bestFit="1" customWidth="1"/>
    <col min="10245" max="10252" width="13.85546875" style="2" bestFit="1" customWidth="1"/>
    <col min="10253" max="10253" width="16.28515625" style="2" customWidth="1"/>
    <col min="10254" max="10255" width="11.42578125" style="2"/>
    <col min="10256" max="10256" width="11.7109375" style="2" bestFit="1" customWidth="1"/>
    <col min="10257" max="10257" width="12.28515625" style="2" customWidth="1"/>
    <col min="10258" max="10488" width="11.42578125" style="2"/>
    <col min="10489" max="10489" width="32.42578125" style="2" customWidth="1"/>
    <col min="10490" max="10490" width="13.28515625" style="2" customWidth="1"/>
    <col min="10491" max="10491" width="11.85546875" style="2" customWidth="1"/>
    <col min="10492" max="10492" width="13.140625" style="2" customWidth="1"/>
    <col min="10493" max="10493" width="14.42578125" style="2" customWidth="1"/>
    <col min="10494" max="10494" width="12.85546875" style="2" customWidth="1"/>
    <col min="10495" max="10500" width="12.28515625" style="2" bestFit="1" customWidth="1"/>
    <col min="10501" max="10508" width="13.85546875" style="2" bestFit="1" customWidth="1"/>
    <col min="10509" max="10509" width="16.28515625" style="2" customWidth="1"/>
    <col min="10510" max="10511" width="11.42578125" style="2"/>
    <col min="10512" max="10512" width="11.7109375" style="2" bestFit="1" customWidth="1"/>
    <col min="10513" max="10513" width="12.28515625" style="2" customWidth="1"/>
    <col min="10514" max="10744" width="11.42578125" style="2"/>
    <col min="10745" max="10745" width="32.42578125" style="2" customWidth="1"/>
    <col min="10746" max="10746" width="13.28515625" style="2" customWidth="1"/>
    <col min="10747" max="10747" width="11.85546875" style="2" customWidth="1"/>
    <col min="10748" max="10748" width="13.140625" style="2" customWidth="1"/>
    <col min="10749" max="10749" width="14.42578125" style="2" customWidth="1"/>
    <col min="10750" max="10750" width="12.85546875" style="2" customWidth="1"/>
    <col min="10751" max="10756" width="12.28515625" style="2" bestFit="1" customWidth="1"/>
    <col min="10757" max="10764" width="13.85546875" style="2" bestFit="1" customWidth="1"/>
    <col min="10765" max="10765" width="16.28515625" style="2" customWidth="1"/>
    <col min="10766" max="10767" width="11.42578125" style="2"/>
    <col min="10768" max="10768" width="11.7109375" style="2" bestFit="1" customWidth="1"/>
    <col min="10769" max="10769" width="12.28515625" style="2" customWidth="1"/>
    <col min="10770" max="11000" width="11.42578125" style="2"/>
    <col min="11001" max="11001" width="32.42578125" style="2" customWidth="1"/>
    <col min="11002" max="11002" width="13.28515625" style="2" customWidth="1"/>
    <col min="11003" max="11003" width="11.85546875" style="2" customWidth="1"/>
    <col min="11004" max="11004" width="13.140625" style="2" customWidth="1"/>
    <col min="11005" max="11005" width="14.42578125" style="2" customWidth="1"/>
    <col min="11006" max="11006" width="12.85546875" style="2" customWidth="1"/>
    <col min="11007" max="11012" width="12.28515625" style="2" bestFit="1" customWidth="1"/>
    <col min="11013" max="11020" width="13.85546875" style="2" bestFit="1" customWidth="1"/>
    <col min="11021" max="11021" width="16.28515625" style="2" customWidth="1"/>
    <col min="11022" max="11023" width="11.42578125" style="2"/>
    <col min="11024" max="11024" width="11.7109375" style="2" bestFit="1" customWidth="1"/>
    <col min="11025" max="11025" width="12.28515625" style="2" customWidth="1"/>
    <col min="11026" max="11256" width="11.42578125" style="2"/>
    <col min="11257" max="11257" width="32.42578125" style="2" customWidth="1"/>
    <col min="11258" max="11258" width="13.28515625" style="2" customWidth="1"/>
    <col min="11259" max="11259" width="11.85546875" style="2" customWidth="1"/>
    <col min="11260" max="11260" width="13.140625" style="2" customWidth="1"/>
    <col min="11261" max="11261" width="14.42578125" style="2" customWidth="1"/>
    <col min="11262" max="11262" width="12.85546875" style="2" customWidth="1"/>
    <col min="11263" max="11268" width="12.28515625" style="2" bestFit="1" customWidth="1"/>
    <col min="11269" max="11276" width="13.85546875" style="2" bestFit="1" customWidth="1"/>
    <col min="11277" max="11277" width="16.28515625" style="2" customWidth="1"/>
    <col min="11278" max="11279" width="11.42578125" style="2"/>
    <col min="11280" max="11280" width="11.7109375" style="2" bestFit="1" customWidth="1"/>
    <col min="11281" max="11281" width="12.28515625" style="2" customWidth="1"/>
    <col min="11282" max="11512" width="11.42578125" style="2"/>
    <col min="11513" max="11513" width="32.42578125" style="2" customWidth="1"/>
    <col min="11514" max="11514" width="13.28515625" style="2" customWidth="1"/>
    <col min="11515" max="11515" width="11.85546875" style="2" customWidth="1"/>
    <col min="11516" max="11516" width="13.140625" style="2" customWidth="1"/>
    <col min="11517" max="11517" width="14.42578125" style="2" customWidth="1"/>
    <col min="11518" max="11518" width="12.85546875" style="2" customWidth="1"/>
    <col min="11519" max="11524" width="12.28515625" style="2" bestFit="1" customWidth="1"/>
    <col min="11525" max="11532" width="13.85546875" style="2" bestFit="1" customWidth="1"/>
    <col min="11533" max="11533" width="16.28515625" style="2" customWidth="1"/>
    <col min="11534" max="11535" width="11.42578125" style="2"/>
    <col min="11536" max="11536" width="11.7109375" style="2" bestFit="1" customWidth="1"/>
    <col min="11537" max="11537" width="12.28515625" style="2" customWidth="1"/>
    <col min="11538" max="11768" width="11.42578125" style="2"/>
    <col min="11769" max="11769" width="32.42578125" style="2" customWidth="1"/>
    <col min="11770" max="11770" width="13.28515625" style="2" customWidth="1"/>
    <col min="11771" max="11771" width="11.85546875" style="2" customWidth="1"/>
    <col min="11772" max="11772" width="13.140625" style="2" customWidth="1"/>
    <col min="11773" max="11773" width="14.42578125" style="2" customWidth="1"/>
    <col min="11774" max="11774" width="12.85546875" style="2" customWidth="1"/>
    <col min="11775" max="11780" width="12.28515625" style="2" bestFit="1" customWidth="1"/>
    <col min="11781" max="11788" width="13.85546875" style="2" bestFit="1" customWidth="1"/>
    <col min="11789" max="11789" width="16.28515625" style="2" customWidth="1"/>
    <col min="11790" max="11791" width="11.42578125" style="2"/>
    <col min="11792" max="11792" width="11.7109375" style="2" bestFit="1" customWidth="1"/>
    <col min="11793" max="11793" width="12.28515625" style="2" customWidth="1"/>
    <col min="11794" max="12024" width="11.42578125" style="2"/>
    <col min="12025" max="12025" width="32.42578125" style="2" customWidth="1"/>
    <col min="12026" max="12026" width="13.28515625" style="2" customWidth="1"/>
    <col min="12027" max="12027" width="11.85546875" style="2" customWidth="1"/>
    <col min="12028" max="12028" width="13.140625" style="2" customWidth="1"/>
    <col min="12029" max="12029" width="14.42578125" style="2" customWidth="1"/>
    <col min="12030" max="12030" width="12.85546875" style="2" customWidth="1"/>
    <col min="12031" max="12036" width="12.28515625" style="2" bestFit="1" customWidth="1"/>
    <col min="12037" max="12044" width="13.85546875" style="2" bestFit="1" customWidth="1"/>
    <col min="12045" max="12045" width="16.28515625" style="2" customWidth="1"/>
    <col min="12046" max="12047" width="11.42578125" style="2"/>
    <col min="12048" max="12048" width="11.7109375" style="2" bestFit="1" customWidth="1"/>
    <col min="12049" max="12049" width="12.28515625" style="2" customWidth="1"/>
    <col min="12050" max="12280" width="11.42578125" style="2"/>
    <col min="12281" max="12281" width="32.42578125" style="2" customWidth="1"/>
    <col min="12282" max="12282" width="13.28515625" style="2" customWidth="1"/>
    <col min="12283" max="12283" width="11.85546875" style="2" customWidth="1"/>
    <col min="12284" max="12284" width="13.140625" style="2" customWidth="1"/>
    <col min="12285" max="12285" width="14.42578125" style="2" customWidth="1"/>
    <col min="12286" max="12286" width="12.85546875" style="2" customWidth="1"/>
    <col min="12287" max="12292" width="12.28515625" style="2" bestFit="1" customWidth="1"/>
    <col min="12293" max="12300" width="13.85546875" style="2" bestFit="1" customWidth="1"/>
    <col min="12301" max="12301" width="16.28515625" style="2" customWidth="1"/>
    <col min="12302" max="12303" width="11.42578125" style="2"/>
    <col min="12304" max="12304" width="11.7109375" style="2" bestFit="1" customWidth="1"/>
    <col min="12305" max="12305" width="12.28515625" style="2" customWidth="1"/>
    <col min="12306" max="12536" width="11.42578125" style="2"/>
    <col min="12537" max="12537" width="32.42578125" style="2" customWidth="1"/>
    <col min="12538" max="12538" width="13.28515625" style="2" customWidth="1"/>
    <col min="12539" max="12539" width="11.85546875" style="2" customWidth="1"/>
    <col min="12540" max="12540" width="13.140625" style="2" customWidth="1"/>
    <col min="12541" max="12541" width="14.42578125" style="2" customWidth="1"/>
    <col min="12542" max="12542" width="12.85546875" style="2" customWidth="1"/>
    <col min="12543" max="12548" width="12.28515625" style="2" bestFit="1" customWidth="1"/>
    <col min="12549" max="12556" width="13.85546875" style="2" bestFit="1" customWidth="1"/>
    <col min="12557" max="12557" width="16.28515625" style="2" customWidth="1"/>
    <col min="12558" max="12559" width="11.42578125" style="2"/>
    <col min="12560" max="12560" width="11.7109375" style="2" bestFit="1" customWidth="1"/>
    <col min="12561" max="12561" width="12.28515625" style="2" customWidth="1"/>
    <col min="12562" max="12792" width="11.42578125" style="2"/>
    <col min="12793" max="12793" width="32.42578125" style="2" customWidth="1"/>
    <col min="12794" max="12794" width="13.28515625" style="2" customWidth="1"/>
    <col min="12795" max="12795" width="11.85546875" style="2" customWidth="1"/>
    <col min="12796" max="12796" width="13.140625" style="2" customWidth="1"/>
    <col min="12797" max="12797" width="14.42578125" style="2" customWidth="1"/>
    <col min="12798" max="12798" width="12.85546875" style="2" customWidth="1"/>
    <col min="12799" max="12804" width="12.28515625" style="2" bestFit="1" customWidth="1"/>
    <col min="12805" max="12812" width="13.85546875" style="2" bestFit="1" customWidth="1"/>
    <col min="12813" max="12813" width="16.28515625" style="2" customWidth="1"/>
    <col min="12814" max="12815" width="11.42578125" style="2"/>
    <col min="12816" max="12816" width="11.7109375" style="2" bestFit="1" customWidth="1"/>
    <col min="12817" max="12817" width="12.28515625" style="2" customWidth="1"/>
    <col min="12818" max="13048" width="11.42578125" style="2"/>
    <col min="13049" max="13049" width="32.42578125" style="2" customWidth="1"/>
    <col min="13050" max="13050" width="13.28515625" style="2" customWidth="1"/>
    <col min="13051" max="13051" width="11.85546875" style="2" customWidth="1"/>
    <col min="13052" max="13052" width="13.140625" style="2" customWidth="1"/>
    <col min="13053" max="13053" width="14.42578125" style="2" customWidth="1"/>
    <col min="13054" max="13054" width="12.85546875" style="2" customWidth="1"/>
    <col min="13055" max="13060" width="12.28515625" style="2" bestFit="1" customWidth="1"/>
    <col min="13061" max="13068" width="13.85546875" style="2" bestFit="1" customWidth="1"/>
    <col min="13069" max="13069" width="16.28515625" style="2" customWidth="1"/>
    <col min="13070" max="13071" width="11.42578125" style="2"/>
    <col min="13072" max="13072" width="11.7109375" style="2" bestFit="1" customWidth="1"/>
    <col min="13073" max="13073" width="12.28515625" style="2" customWidth="1"/>
    <col min="13074" max="13304" width="11.42578125" style="2"/>
    <col min="13305" max="13305" width="32.42578125" style="2" customWidth="1"/>
    <col min="13306" max="13306" width="13.28515625" style="2" customWidth="1"/>
    <col min="13307" max="13307" width="11.85546875" style="2" customWidth="1"/>
    <col min="13308" max="13308" width="13.140625" style="2" customWidth="1"/>
    <col min="13309" max="13309" width="14.42578125" style="2" customWidth="1"/>
    <col min="13310" max="13310" width="12.85546875" style="2" customWidth="1"/>
    <col min="13311" max="13316" width="12.28515625" style="2" bestFit="1" customWidth="1"/>
    <col min="13317" max="13324" width="13.85546875" style="2" bestFit="1" customWidth="1"/>
    <col min="13325" max="13325" width="16.28515625" style="2" customWidth="1"/>
    <col min="13326" max="13327" width="11.42578125" style="2"/>
    <col min="13328" max="13328" width="11.7109375" style="2" bestFit="1" customWidth="1"/>
    <col min="13329" max="13329" width="12.28515625" style="2" customWidth="1"/>
    <col min="13330" max="13560" width="11.42578125" style="2"/>
    <col min="13561" max="13561" width="32.42578125" style="2" customWidth="1"/>
    <col min="13562" max="13562" width="13.28515625" style="2" customWidth="1"/>
    <col min="13563" max="13563" width="11.85546875" style="2" customWidth="1"/>
    <col min="13564" max="13564" width="13.140625" style="2" customWidth="1"/>
    <col min="13565" max="13565" width="14.42578125" style="2" customWidth="1"/>
    <col min="13566" max="13566" width="12.85546875" style="2" customWidth="1"/>
    <col min="13567" max="13572" width="12.28515625" style="2" bestFit="1" customWidth="1"/>
    <col min="13573" max="13580" width="13.85546875" style="2" bestFit="1" customWidth="1"/>
    <col min="13581" max="13581" width="16.28515625" style="2" customWidth="1"/>
    <col min="13582" max="13583" width="11.42578125" style="2"/>
    <col min="13584" max="13584" width="11.7109375" style="2" bestFit="1" customWidth="1"/>
    <col min="13585" max="13585" width="12.28515625" style="2" customWidth="1"/>
    <col min="13586" max="13816" width="11.42578125" style="2"/>
    <col min="13817" max="13817" width="32.42578125" style="2" customWidth="1"/>
    <col min="13818" max="13818" width="13.28515625" style="2" customWidth="1"/>
    <col min="13819" max="13819" width="11.85546875" style="2" customWidth="1"/>
    <col min="13820" max="13820" width="13.140625" style="2" customWidth="1"/>
    <col min="13821" max="13821" width="14.42578125" style="2" customWidth="1"/>
    <col min="13822" max="13822" width="12.85546875" style="2" customWidth="1"/>
    <col min="13823" max="13828" width="12.28515625" style="2" bestFit="1" customWidth="1"/>
    <col min="13829" max="13836" width="13.85546875" style="2" bestFit="1" customWidth="1"/>
    <col min="13837" max="13837" width="16.28515625" style="2" customWidth="1"/>
    <col min="13838" max="13839" width="11.42578125" style="2"/>
    <col min="13840" max="13840" width="11.7109375" style="2" bestFit="1" customWidth="1"/>
    <col min="13841" max="13841" width="12.28515625" style="2" customWidth="1"/>
    <col min="13842" max="14072" width="11.42578125" style="2"/>
    <col min="14073" max="14073" width="32.42578125" style="2" customWidth="1"/>
    <col min="14074" max="14074" width="13.28515625" style="2" customWidth="1"/>
    <col min="14075" max="14075" width="11.85546875" style="2" customWidth="1"/>
    <col min="14076" max="14076" width="13.140625" style="2" customWidth="1"/>
    <col min="14077" max="14077" width="14.42578125" style="2" customWidth="1"/>
    <col min="14078" max="14078" width="12.85546875" style="2" customWidth="1"/>
    <col min="14079" max="14084" width="12.28515625" style="2" bestFit="1" customWidth="1"/>
    <col min="14085" max="14092" width="13.85546875" style="2" bestFit="1" customWidth="1"/>
    <col min="14093" max="14093" width="16.28515625" style="2" customWidth="1"/>
    <col min="14094" max="14095" width="11.42578125" style="2"/>
    <col min="14096" max="14096" width="11.7109375" style="2" bestFit="1" customWidth="1"/>
    <col min="14097" max="14097" width="12.28515625" style="2" customWidth="1"/>
    <col min="14098" max="14328" width="11.42578125" style="2"/>
    <col min="14329" max="14329" width="32.42578125" style="2" customWidth="1"/>
    <col min="14330" max="14330" width="13.28515625" style="2" customWidth="1"/>
    <col min="14331" max="14331" width="11.85546875" style="2" customWidth="1"/>
    <col min="14332" max="14332" width="13.140625" style="2" customWidth="1"/>
    <col min="14333" max="14333" width="14.42578125" style="2" customWidth="1"/>
    <col min="14334" max="14334" width="12.85546875" style="2" customWidth="1"/>
    <col min="14335" max="14340" width="12.28515625" style="2" bestFit="1" customWidth="1"/>
    <col min="14341" max="14348" width="13.85546875" style="2" bestFit="1" customWidth="1"/>
    <col min="14349" max="14349" width="16.28515625" style="2" customWidth="1"/>
    <col min="14350" max="14351" width="11.42578125" style="2"/>
    <col min="14352" max="14352" width="11.7109375" style="2" bestFit="1" customWidth="1"/>
    <col min="14353" max="14353" width="12.28515625" style="2" customWidth="1"/>
    <col min="14354" max="14584" width="11.42578125" style="2"/>
    <col min="14585" max="14585" width="32.42578125" style="2" customWidth="1"/>
    <col min="14586" max="14586" width="13.28515625" style="2" customWidth="1"/>
    <col min="14587" max="14587" width="11.85546875" style="2" customWidth="1"/>
    <col min="14588" max="14588" width="13.140625" style="2" customWidth="1"/>
    <col min="14589" max="14589" width="14.42578125" style="2" customWidth="1"/>
    <col min="14590" max="14590" width="12.85546875" style="2" customWidth="1"/>
    <col min="14591" max="14596" width="12.28515625" style="2" bestFit="1" customWidth="1"/>
    <col min="14597" max="14604" width="13.85546875" style="2" bestFit="1" customWidth="1"/>
    <col min="14605" max="14605" width="16.28515625" style="2" customWidth="1"/>
    <col min="14606" max="14607" width="11.42578125" style="2"/>
    <col min="14608" max="14608" width="11.7109375" style="2" bestFit="1" customWidth="1"/>
    <col min="14609" max="14609" width="12.28515625" style="2" customWidth="1"/>
    <col min="14610" max="14840" width="11.42578125" style="2"/>
    <col min="14841" max="14841" width="32.42578125" style="2" customWidth="1"/>
    <col min="14842" max="14842" width="13.28515625" style="2" customWidth="1"/>
    <col min="14843" max="14843" width="11.85546875" style="2" customWidth="1"/>
    <col min="14844" max="14844" width="13.140625" style="2" customWidth="1"/>
    <col min="14845" max="14845" width="14.42578125" style="2" customWidth="1"/>
    <col min="14846" max="14846" width="12.85546875" style="2" customWidth="1"/>
    <col min="14847" max="14852" width="12.28515625" style="2" bestFit="1" customWidth="1"/>
    <col min="14853" max="14860" width="13.85546875" style="2" bestFit="1" customWidth="1"/>
    <col min="14861" max="14861" width="16.28515625" style="2" customWidth="1"/>
    <col min="14862" max="14863" width="11.42578125" style="2"/>
    <col min="14864" max="14864" width="11.7109375" style="2" bestFit="1" customWidth="1"/>
    <col min="14865" max="14865" width="12.28515625" style="2" customWidth="1"/>
    <col min="14866" max="15096" width="11.42578125" style="2"/>
    <col min="15097" max="15097" width="32.42578125" style="2" customWidth="1"/>
    <col min="15098" max="15098" width="13.28515625" style="2" customWidth="1"/>
    <col min="15099" max="15099" width="11.85546875" style="2" customWidth="1"/>
    <col min="15100" max="15100" width="13.140625" style="2" customWidth="1"/>
    <col min="15101" max="15101" width="14.42578125" style="2" customWidth="1"/>
    <col min="15102" max="15102" width="12.85546875" style="2" customWidth="1"/>
    <col min="15103" max="15108" width="12.28515625" style="2" bestFit="1" customWidth="1"/>
    <col min="15109" max="15116" width="13.85546875" style="2" bestFit="1" customWidth="1"/>
    <col min="15117" max="15117" width="16.28515625" style="2" customWidth="1"/>
    <col min="15118" max="15119" width="11.42578125" style="2"/>
    <col min="15120" max="15120" width="11.7109375" style="2" bestFit="1" customWidth="1"/>
    <col min="15121" max="15121" width="12.28515625" style="2" customWidth="1"/>
    <col min="15122" max="15352" width="11.42578125" style="2"/>
    <col min="15353" max="15353" width="32.42578125" style="2" customWidth="1"/>
    <col min="15354" max="15354" width="13.28515625" style="2" customWidth="1"/>
    <col min="15355" max="15355" width="11.85546875" style="2" customWidth="1"/>
    <col min="15356" max="15356" width="13.140625" style="2" customWidth="1"/>
    <col min="15357" max="15357" width="14.42578125" style="2" customWidth="1"/>
    <col min="15358" max="15358" width="12.85546875" style="2" customWidth="1"/>
    <col min="15359" max="15364" width="12.28515625" style="2" bestFit="1" customWidth="1"/>
    <col min="15365" max="15372" width="13.85546875" style="2" bestFit="1" customWidth="1"/>
    <col min="15373" max="15373" width="16.28515625" style="2" customWidth="1"/>
    <col min="15374" max="15375" width="11.42578125" style="2"/>
    <col min="15376" max="15376" width="11.7109375" style="2" bestFit="1" customWidth="1"/>
    <col min="15377" max="15377" width="12.28515625" style="2" customWidth="1"/>
    <col min="15378" max="15608" width="11.42578125" style="2"/>
    <col min="15609" max="15609" width="32.42578125" style="2" customWidth="1"/>
    <col min="15610" max="15610" width="13.28515625" style="2" customWidth="1"/>
    <col min="15611" max="15611" width="11.85546875" style="2" customWidth="1"/>
    <col min="15612" max="15612" width="13.140625" style="2" customWidth="1"/>
    <col min="15613" max="15613" width="14.42578125" style="2" customWidth="1"/>
    <col min="15614" max="15614" width="12.85546875" style="2" customWidth="1"/>
    <col min="15615" max="15620" width="12.28515625" style="2" bestFit="1" customWidth="1"/>
    <col min="15621" max="15628" width="13.85546875" style="2" bestFit="1" customWidth="1"/>
    <col min="15629" max="15629" width="16.28515625" style="2" customWidth="1"/>
    <col min="15630" max="15631" width="11.42578125" style="2"/>
    <col min="15632" max="15632" width="11.7109375" style="2" bestFit="1" customWidth="1"/>
    <col min="15633" max="15633" width="12.28515625" style="2" customWidth="1"/>
    <col min="15634" max="15864" width="11.42578125" style="2"/>
    <col min="15865" max="15865" width="32.42578125" style="2" customWidth="1"/>
    <col min="15866" max="15866" width="13.28515625" style="2" customWidth="1"/>
    <col min="15867" max="15867" width="11.85546875" style="2" customWidth="1"/>
    <col min="15868" max="15868" width="13.140625" style="2" customWidth="1"/>
    <col min="15869" max="15869" width="14.42578125" style="2" customWidth="1"/>
    <col min="15870" max="15870" width="12.85546875" style="2" customWidth="1"/>
    <col min="15871" max="15876" width="12.28515625" style="2" bestFit="1" customWidth="1"/>
    <col min="15877" max="15884" width="13.85546875" style="2" bestFit="1" customWidth="1"/>
    <col min="15885" max="15885" width="16.28515625" style="2" customWidth="1"/>
    <col min="15886" max="15887" width="11.42578125" style="2"/>
    <col min="15888" max="15888" width="11.7109375" style="2" bestFit="1" customWidth="1"/>
    <col min="15889" max="15889" width="12.28515625" style="2" customWidth="1"/>
    <col min="15890" max="16120" width="11.42578125" style="2"/>
    <col min="16121" max="16121" width="32.42578125" style="2" customWidth="1"/>
    <col min="16122" max="16122" width="13.28515625" style="2" customWidth="1"/>
    <col min="16123" max="16123" width="11.85546875" style="2" customWidth="1"/>
    <col min="16124" max="16124" width="13.140625" style="2" customWidth="1"/>
    <col min="16125" max="16125" width="14.42578125" style="2" customWidth="1"/>
    <col min="16126" max="16126" width="12.85546875" style="2" customWidth="1"/>
    <col min="16127" max="16132" width="12.28515625" style="2" bestFit="1" customWidth="1"/>
    <col min="16133" max="16140" width="13.85546875" style="2" bestFit="1" customWidth="1"/>
    <col min="16141" max="16141" width="16.28515625" style="2" customWidth="1"/>
    <col min="16142" max="16143" width="11.42578125" style="2"/>
    <col min="16144" max="16144" width="11.7109375" style="2" bestFit="1" customWidth="1"/>
    <col min="16145" max="16145" width="12.28515625" style="2" customWidth="1"/>
    <col min="16146" max="16384" width="11.42578125" style="2"/>
  </cols>
  <sheetData>
    <row r="2" spans="1:14" x14ac:dyDescent="0.25">
      <c r="A2" s="67" t="s">
        <v>27</v>
      </c>
    </row>
    <row r="3" spans="1:14" ht="16.5" thickBot="1" x14ac:dyDescent="0.3"/>
    <row r="4" spans="1:14" s="71" customFormat="1" ht="16.5" thickBot="1" x14ac:dyDescent="0.3">
      <c r="A4" s="39" t="s">
        <v>22</v>
      </c>
      <c r="B4" s="44" t="s">
        <v>5</v>
      </c>
      <c r="C4" s="68" t="s">
        <v>29</v>
      </c>
      <c r="D4" s="68" t="s">
        <v>30</v>
      </c>
      <c r="E4" s="68" t="s">
        <v>31</v>
      </c>
      <c r="F4" s="68" t="s">
        <v>32</v>
      </c>
      <c r="G4" s="69" t="s">
        <v>33</v>
      </c>
      <c r="H4" s="68" t="s">
        <v>34</v>
      </c>
      <c r="I4" s="69" t="s">
        <v>35</v>
      </c>
      <c r="J4" s="68" t="s">
        <v>36</v>
      </c>
      <c r="K4" s="69" t="s">
        <v>37</v>
      </c>
      <c r="L4" s="68" t="s">
        <v>38</v>
      </c>
      <c r="M4" s="70" t="s">
        <v>5</v>
      </c>
    </row>
    <row r="5" spans="1:14" s="73" customFormat="1" x14ac:dyDescent="0.25">
      <c r="A5" s="48" t="s">
        <v>124</v>
      </c>
      <c r="B5" s="49">
        <f>+'DETALLE RUBROS CONSTRUCTIVOS'!G6</f>
        <v>402</v>
      </c>
      <c r="C5" s="50">
        <f>+'DETALLE RUBROS CONSTRUCTIVOS'!F8/2</f>
        <v>66</v>
      </c>
      <c r="D5" s="50">
        <f>+'DETALLE RUBROS CONSTRUCTIVOS'!F8/2</f>
        <v>66</v>
      </c>
      <c r="E5" s="50">
        <f>+'DETALLE RUBROS CONSTRUCTIVOS'!F7</f>
        <v>250</v>
      </c>
      <c r="F5" s="50"/>
      <c r="G5" s="51"/>
      <c r="H5" s="50">
        <f>+'DETALLE RUBROS CONSTRUCTIVOS'!F9</f>
        <v>20</v>
      </c>
      <c r="I5" s="52"/>
      <c r="J5" s="53"/>
      <c r="K5" s="52"/>
      <c r="L5" s="50"/>
      <c r="M5" s="54">
        <f t="shared" ref="M5:M18" si="0">SUM(C5:L5)</f>
        <v>402</v>
      </c>
      <c r="N5" s="72">
        <f t="shared" ref="N5:N15" si="1">+M5-B5</f>
        <v>0</v>
      </c>
    </row>
    <row r="6" spans="1:14" s="73" customFormat="1" x14ac:dyDescent="0.25">
      <c r="A6" s="55" t="s">
        <v>125</v>
      </c>
      <c r="B6" s="56">
        <f>+'DETALLE RUBROS CONSTRUCTIVOS'!G10</f>
        <v>108.45</v>
      </c>
      <c r="C6" s="57">
        <f>+'DETALLE RUBROS CONSTRUCTIVOS'!F11</f>
        <v>18.450000000000003</v>
      </c>
      <c r="D6" s="57"/>
      <c r="E6" s="57"/>
      <c r="F6" s="57"/>
      <c r="G6" s="58">
        <f>+'DETALLE RUBROS CONSTRUCTIVOS'!F13</f>
        <v>90</v>
      </c>
      <c r="H6" s="57"/>
      <c r="I6" s="58"/>
      <c r="J6" s="59"/>
      <c r="K6" s="58"/>
      <c r="L6" s="57"/>
      <c r="M6" s="60">
        <f t="shared" si="0"/>
        <v>108.45</v>
      </c>
      <c r="N6" s="72">
        <f t="shared" si="1"/>
        <v>0</v>
      </c>
    </row>
    <row r="7" spans="1:14" s="73" customFormat="1" x14ac:dyDescent="0.25">
      <c r="A7" s="61" t="s">
        <v>126</v>
      </c>
      <c r="B7" s="49">
        <f>+'DETALLE RUBROS CONSTRUCTIVOS'!G14</f>
        <v>2240.6967000000004</v>
      </c>
      <c r="C7" s="50"/>
      <c r="D7" s="50"/>
      <c r="E7" s="50">
        <f>+B7*0.3</f>
        <v>672.20901000000015</v>
      </c>
      <c r="F7" s="50"/>
      <c r="G7" s="52">
        <f>+B7*0.7</f>
        <v>1568.4876900000002</v>
      </c>
      <c r="H7" s="50"/>
      <c r="I7" s="52"/>
      <c r="J7" s="50"/>
      <c r="K7" s="52"/>
      <c r="L7" s="50"/>
      <c r="M7" s="54">
        <f t="shared" si="0"/>
        <v>2240.6967000000004</v>
      </c>
      <c r="N7" s="72">
        <f t="shared" si="1"/>
        <v>0</v>
      </c>
    </row>
    <row r="8" spans="1:14" s="73" customFormat="1" x14ac:dyDescent="0.25">
      <c r="A8" s="55" t="s">
        <v>127</v>
      </c>
      <c r="B8" s="56">
        <f>+'DETALLE RUBROS CONSTRUCTIVOS'!G24</f>
        <v>2745.0326000000005</v>
      </c>
      <c r="C8" s="57"/>
      <c r="D8" s="57"/>
      <c r="E8" s="57">
        <f>+B8*0.6</f>
        <v>1647.0195600000002</v>
      </c>
      <c r="F8" s="57">
        <f>+B8*0.4</f>
        <v>1098.0130400000003</v>
      </c>
      <c r="G8" s="58"/>
      <c r="H8" s="57"/>
      <c r="I8" s="58"/>
      <c r="J8" s="57"/>
      <c r="K8" s="58"/>
      <c r="L8" s="57"/>
      <c r="M8" s="60">
        <f t="shared" si="0"/>
        <v>2745.0326000000005</v>
      </c>
      <c r="N8" s="72">
        <f t="shared" si="1"/>
        <v>0</v>
      </c>
    </row>
    <row r="9" spans="1:14" s="73" customFormat="1" x14ac:dyDescent="0.25">
      <c r="A9" s="61" t="s">
        <v>128</v>
      </c>
      <c r="B9" s="49">
        <f>+'DETALLE RUBROS CONSTRUCTIVOS'!G30</f>
        <v>3791.3525</v>
      </c>
      <c r="C9" s="50"/>
      <c r="D9" s="50"/>
      <c r="E9" s="50"/>
      <c r="F9" s="50">
        <f>+B9</f>
        <v>3791.3525</v>
      </c>
      <c r="G9" s="52"/>
      <c r="H9" s="50"/>
      <c r="I9" s="52"/>
      <c r="J9" s="50"/>
      <c r="K9" s="52"/>
      <c r="L9" s="50"/>
      <c r="M9" s="54">
        <f t="shared" si="0"/>
        <v>3791.3525</v>
      </c>
      <c r="N9" s="72">
        <f t="shared" si="1"/>
        <v>0</v>
      </c>
    </row>
    <row r="10" spans="1:14" s="73" customFormat="1" x14ac:dyDescent="0.25">
      <c r="A10" s="55" t="s">
        <v>129</v>
      </c>
      <c r="B10" s="56">
        <f>+'DETALLE RUBROS CONSTRUCTIVOS'!G40</f>
        <v>2606.85</v>
      </c>
      <c r="C10" s="57"/>
      <c r="D10" s="57"/>
      <c r="E10" s="57"/>
      <c r="F10" s="57"/>
      <c r="G10" s="58"/>
      <c r="H10" s="57">
        <f>+B10</f>
        <v>2606.85</v>
      </c>
      <c r="I10" s="58"/>
      <c r="J10" s="57"/>
      <c r="K10" s="58"/>
      <c r="L10" s="57"/>
      <c r="M10" s="60">
        <f t="shared" si="0"/>
        <v>2606.85</v>
      </c>
      <c r="N10" s="72">
        <f t="shared" si="1"/>
        <v>0</v>
      </c>
    </row>
    <row r="11" spans="1:14" s="73" customFormat="1" x14ac:dyDescent="0.25">
      <c r="A11" s="61" t="s">
        <v>130</v>
      </c>
      <c r="B11" s="49">
        <f>+'DETALLE RUBROS CONSTRUCTIVOS'!G48</f>
        <v>1068.96</v>
      </c>
      <c r="C11" s="50"/>
      <c r="D11" s="50"/>
      <c r="E11" s="50"/>
      <c r="F11" s="50"/>
      <c r="G11" s="52"/>
      <c r="H11" s="53"/>
      <c r="I11" s="52">
        <f>+B11</f>
        <v>1068.96</v>
      </c>
      <c r="J11" s="50"/>
      <c r="K11" s="52"/>
      <c r="L11" s="50"/>
      <c r="M11" s="54">
        <f t="shared" si="0"/>
        <v>1068.96</v>
      </c>
      <c r="N11" s="72">
        <f t="shared" si="1"/>
        <v>0</v>
      </c>
    </row>
    <row r="12" spans="1:14" s="73" customFormat="1" x14ac:dyDescent="0.25">
      <c r="A12" s="55" t="s">
        <v>131</v>
      </c>
      <c r="B12" s="56">
        <f>+'DETALLE RUBROS CONSTRUCTIVOS'!G51</f>
        <v>2917.4369999999999</v>
      </c>
      <c r="C12" s="57"/>
      <c r="D12" s="57"/>
      <c r="E12" s="57"/>
      <c r="F12" s="57"/>
      <c r="G12" s="58"/>
      <c r="H12" s="57"/>
      <c r="I12" s="35"/>
      <c r="J12" s="57">
        <f>+B12</f>
        <v>2917.4369999999999</v>
      </c>
      <c r="K12" s="58"/>
      <c r="L12" s="57"/>
      <c r="M12" s="60">
        <f t="shared" si="0"/>
        <v>2917.4369999999999</v>
      </c>
      <c r="N12" s="72">
        <f t="shared" si="1"/>
        <v>0</v>
      </c>
    </row>
    <row r="13" spans="1:14" s="73" customFormat="1" x14ac:dyDescent="0.25">
      <c r="A13" s="61" t="s">
        <v>132</v>
      </c>
      <c r="B13" s="49">
        <f>+'DETALLE RUBROS CONSTRUCTIVOS'!G63</f>
        <v>1273.248</v>
      </c>
      <c r="C13" s="50"/>
      <c r="D13" s="50"/>
      <c r="E13" s="50"/>
      <c r="F13" s="50"/>
      <c r="G13" s="52"/>
      <c r="H13" s="50">
        <f>+B13</f>
        <v>1273.248</v>
      </c>
      <c r="I13" s="52"/>
      <c r="J13" s="50"/>
      <c r="K13" s="52"/>
      <c r="L13" s="50"/>
      <c r="M13" s="54">
        <f t="shared" si="0"/>
        <v>1273.248</v>
      </c>
      <c r="N13" s="72">
        <f t="shared" si="1"/>
        <v>0</v>
      </c>
    </row>
    <row r="14" spans="1:14" s="73" customFormat="1" x14ac:dyDescent="0.25">
      <c r="A14" s="55" t="s">
        <v>133</v>
      </c>
      <c r="B14" s="56">
        <f>+'DETALLE RUBROS CONSTRUCTIVOS'!G66</f>
        <v>450</v>
      </c>
      <c r="C14" s="57"/>
      <c r="D14" s="57"/>
      <c r="E14" s="57"/>
      <c r="F14" s="57"/>
      <c r="G14" s="58"/>
      <c r="H14" s="57"/>
      <c r="I14" s="58"/>
      <c r="J14" s="57"/>
      <c r="K14" s="58">
        <f>+B14</f>
        <v>450</v>
      </c>
      <c r="L14" s="57"/>
      <c r="M14" s="60">
        <f t="shared" si="0"/>
        <v>450</v>
      </c>
      <c r="N14" s="72">
        <f t="shared" si="1"/>
        <v>0</v>
      </c>
    </row>
    <row r="15" spans="1:14" s="73" customFormat="1" x14ac:dyDescent="0.25">
      <c r="A15" s="61" t="s">
        <v>134</v>
      </c>
      <c r="B15" s="49">
        <f>+'DETALLE RUBROS CONSTRUCTIVOS'!G68</f>
        <v>750.65</v>
      </c>
      <c r="C15" s="50"/>
      <c r="D15" s="50"/>
      <c r="E15" s="50"/>
      <c r="F15" s="50"/>
      <c r="G15" s="52"/>
      <c r="H15" s="50"/>
      <c r="I15" s="52"/>
      <c r="J15" s="50"/>
      <c r="K15" s="52">
        <f>+B15</f>
        <v>750.65</v>
      </c>
      <c r="L15" s="50"/>
      <c r="M15" s="54">
        <f t="shared" si="0"/>
        <v>750.65</v>
      </c>
      <c r="N15" s="72">
        <f t="shared" si="1"/>
        <v>0</v>
      </c>
    </row>
    <row r="16" spans="1:14" s="73" customFormat="1" x14ac:dyDescent="0.25">
      <c r="A16" s="55" t="s">
        <v>135</v>
      </c>
      <c r="B16" s="56">
        <f>+'DETALLE RUBROS CONSTRUCTIVOS'!G73</f>
        <v>776.88999999999987</v>
      </c>
      <c r="C16" s="57"/>
      <c r="D16" s="57"/>
      <c r="E16" s="57"/>
      <c r="F16" s="57"/>
      <c r="G16" s="58"/>
      <c r="H16" s="57"/>
      <c r="I16" s="58"/>
      <c r="J16" s="57"/>
      <c r="K16" s="58"/>
      <c r="L16" s="57">
        <f>+B16</f>
        <v>776.88999999999987</v>
      </c>
      <c r="M16" s="60">
        <f t="shared" si="0"/>
        <v>776.88999999999987</v>
      </c>
      <c r="N16" s="72"/>
    </row>
    <row r="17" spans="1:14" s="73" customFormat="1" x14ac:dyDescent="0.25">
      <c r="A17" s="61" t="s">
        <v>136</v>
      </c>
      <c r="B17" s="49">
        <f>+'MANO DE OBRA'!C28</f>
        <v>6102</v>
      </c>
      <c r="C17" s="50"/>
      <c r="D17" s="50"/>
      <c r="E17" s="50">
        <f>+$B$17/4</f>
        <v>1525.5</v>
      </c>
      <c r="F17" s="50">
        <f>+$B$17/4</f>
        <v>1525.5</v>
      </c>
      <c r="G17" s="52">
        <f>+$B$17/4</f>
        <v>1525.5</v>
      </c>
      <c r="H17" s="50">
        <f>+$B$17/4</f>
        <v>1525.5</v>
      </c>
      <c r="I17" s="52"/>
      <c r="J17" s="50"/>
      <c r="K17" s="52"/>
      <c r="L17" s="50"/>
      <c r="M17" s="54">
        <f t="shared" si="0"/>
        <v>6102</v>
      </c>
      <c r="N17" s="72">
        <f>+M17-B17</f>
        <v>0</v>
      </c>
    </row>
    <row r="18" spans="1:14" s="73" customFormat="1" x14ac:dyDescent="0.25">
      <c r="A18" s="55" t="s">
        <v>137</v>
      </c>
      <c r="B18" s="56">
        <f>+LOGISTICA!B30</f>
        <v>2327.1</v>
      </c>
      <c r="C18" s="57"/>
      <c r="D18" s="57"/>
      <c r="E18" s="57">
        <f>+$B$18/4</f>
        <v>581.77499999999998</v>
      </c>
      <c r="F18" s="57">
        <f>+$B$18/4</f>
        <v>581.77499999999998</v>
      </c>
      <c r="G18" s="58">
        <f>+$B$18/4</f>
        <v>581.77499999999998</v>
      </c>
      <c r="H18" s="57">
        <f>+$B$18/4</f>
        <v>581.77499999999998</v>
      </c>
      <c r="I18" s="58"/>
      <c r="J18" s="57"/>
      <c r="K18" s="58"/>
      <c r="L18" s="57"/>
      <c r="M18" s="60">
        <f t="shared" si="0"/>
        <v>2327.1</v>
      </c>
      <c r="N18" s="72"/>
    </row>
    <row r="19" spans="1:14" s="67" customFormat="1" ht="16.5" thickBot="1" x14ac:dyDescent="0.3">
      <c r="A19" s="62" t="s">
        <v>138</v>
      </c>
      <c r="B19" s="63">
        <f>SUM(B5:B18)</f>
        <v>27560.666800000003</v>
      </c>
      <c r="C19" s="64">
        <f>SUM(C5:C18)</f>
        <v>84.45</v>
      </c>
      <c r="D19" s="64">
        <f t="shared" ref="D19:L19" si="2">SUM(D5:D18)</f>
        <v>66</v>
      </c>
      <c r="E19" s="64">
        <f t="shared" si="2"/>
        <v>4676.5035699999999</v>
      </c>
      <c r="F19" s="64">
        <f t="shared" si="2"/>
        <v>6996.6405400000003</v>
      </c>
      <c r="G19" s="65">
        <f>SUM(G5:G18)</f>
        <v>3765.76269</v>
      </c>
      <c r="H19" s="64">
        <f>SUM(H5:H18)</f>
        <v>6007.3729999999996</v>
      </c>
      <c r="I19" s="65">
        <f t="shared" si="2"/>
        <v>1068.96</v>
      </c>
      <c r="J19" s="64">
        <f t="shared" si="2"/>
        <v>2917.4369999999999</v>
      </c>
      <c r="K19" s="65">
        <f t="shared" si="2"/>
        <v>1200.6500000000001</v>
      </c>
      <c r="L19" s="64">
        <f t="shared" si="2"/>
        <v>776.88999999999987</v>
      </c>
      <c r="M19" s="66">
        <f>SUM(M5:M18)</f>
        <v>27560.666800000003</v>
      </c>
      <c r="N19" s="72"/>
    </row>
    <row r="20" spans="1:14" s="73" customFormat="1" ht="18" customHeight="1" x14ac:dyDescent="0.25">
      <c r="A20" s="2" t="s">
        <v>102</v>
      </c>
      <c r="M20" s="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zoomScale="86" zoomScaleNormal="86" workbookViewId="0">
      <selection activeCell="F24" sqref="F24"/>
    </sheetView>
  </sheetViews>
  <sheetFormatPr baseColWidth="10" defaultRowHeight="15.75" x14ac:dyDescent="0.25"/>
  <cols>
    <col min="1" max="1" width="38.28515625" style="2" customWidth="1"/>
    <col min="2" max="2" width="13.28515625" style="2" customWidth="1"/>
    <col min="3" max="16" width="11.7109375" style="2" customWidth="1"/>
    <col min="17" max="18" width="11.42578125" style="2"/>
    <col min="19" max="19" width="11.7109375" style="2" bestFit="1" customWidth="1"/>
    <col min="20" max="20" width="12.28515625" style="2" customWidth="1"/>
    <col min="21" max="251" width="11.42578125" style="2"/>
    <col min="252" max="252" width="32.42578125" style="2" customWidth="1"/>
    <col min="253" max="253" width="13.28515625" style="2" customWidth="1"/>
    <col min="254" max="254" width="11.85546875" style="2" customWidth="1"/>
    <col min="255" max="255" width="13.140625" style="2" customWidth="1"/>
    <col min="256" max="256" width="14.42578125" style="2" customWidth="1"/>
    <col min="257" max="257" width="12.85546875" style="2" customWidth="1"/>
    <col min="258" max="263" width="12.28515625" style="2" bestFit="1" customWidth="1"/>
    <col min="264" max="271" width="13.85546875" style="2" bestFit="1" customWidth="1"/>
    <col min="272" max="272" width="16.28515625" style="2" customWidth="1"/>
    <col min="273" max="274" width="11.42578125" style="2"/>
    <col min="275" max="275" width="11.7109375" style="2" bestFit="1" customWidth="1"/>
    <col min="276" max="276" width="12.28515625" style="2" customWidth="1"/>
    <col min="277" max="507" width="11.42578125" style="2"/>
    <col min="508" max="508" width="32.42578125" style="2" customWidth="1"/>
    <col min="509" max="509" width="13.28515625" style="2" customWidth="1"/>
    <col min="510" max="510" width="11.85546875" style="2" customWidth="1"/>
    <col min="511" max="511" width="13.140625" style="2" customWidth="1"/>
    <col min="512" max="512" width="14.42578125" style="2" customWidth="1"/>
    <col min="513" max="513" width="12.85546875" style="2" customWidth="1"/>
    <col min="514" max="519" width="12.28515625" style="2" bestFit="1" customWidth="1"/>
    <col min="520" max="527" width="13.85546875" style="2" bestFit="1" customWidth="1"/>
    <col min="528" max="528" width="16.28515625" style="2" customWidth="1"/>
    <col min="529" max="530" width="11.42578125" style="2"/>
    <col min="531" max="531" width="11.7109375" style="2" bestFit="1" customWidth="1"/>
    <col min="532" max="532" width="12.28515625" style="2" customWidth="1"/>
    <col min="533" max="763" width="11.42578125" style="2"/>
    <col min="764" max="764" width="32.42578125" style="2" customWidth="1"/>
    <col min="765" max="765" width="13.28515625" style="2" customWidth="1"/>
    <col min="766" max="766" width="11.85546875" style="2" customWidth="1"/>
    <col min="767" max="767" width="13.140625" style="2" customWidth="1"/>
    <col min="768" max="768" width="14.42578125" style="2" customWidth="1"/>
    <col min="769" max="769" width="12.85546875" style="2" customWidth="1"/>
    <col min="770" max="775" width="12.28515625" style="2" bestFit="1" customWidth="1"/>
    <col min="776" max="783" width="13.85546875" style="2" bestFit="1" customWidth="1"/>
    <col min="784" max="784" width="16.28515625" style="2" customWidth="1"/>
    <col min="785" max="786" width="11.42578125" style="2"/>
    <col min="787" max="787" width="11.7109375" style="2" bestFit="1" customWidth="1"/>
    <col min="788" max="788" width="12.28515625" style="2" customWidth="1"/>
    <col min="789" max="1019" width="11.42578125" style="2"/>
    <col min="1020" max="1020" width="32.42578125" style="2" customWidth="1"/>
    <col min="1021" max="1021" width="13.28515625" style="2" customWidth="1"/>
    <col min="1022" max="1022" width="11.85546875" style="2" customWidth="1"/>
    <col min="1023" max="1023" width="13.140625" style="2" customWidth="1"/>
    <col min="1024" max="1024" width="14.42578125" style="2" customWidth="1"/>
    <col min="1025" max="1025" width="12.85546875" style="2" customWidth="1"/>
    <col min="1026" max="1031" width="12.28515625" style="2" bestFit="1" customWidth="1"/>
    <col min="1032" max="1039" width="13.85546875" style="2" bestFit="1" customWidth="1"/>
    <col min="1040" max="1040" width="16.28515625" style="2" customWidth="1"/>
    <col min="1041" max="1042" width="11.42578125" style="2"/>
    <col min="1043" max="1043" width="11.7109375" style="2" bestFit="1" customWidth="1"/>
    <col min="1044" max="1044" width="12.28515625" style="2" customWidth="1"/>
    <col min="1045" max="1275" width="11.42578125" style="2"/>
    <col min="1276" max="1276" width="32.42578125" style="2" customWidth="1"/>
    <col min="1277" max="1277" width="13.28515625" style="2" customWidth="1"/>
    <col min="1278" max="1278" width="11.85546875" style="2" customWidth="1"/>
    <col min="1279" max="1279" width="13.140625" style="2" customWidth="1"/>
    <col min="1280" max="1280" width="14.42578125" style="2" customWidth="1"/>
    <col min="1281" max="1281" width="12.85546875" style="2" customWidth="1"/>
    <col min="1282" max="1287" width="12.28515625" style="2" bestFit="1" customWidth="1"/>
    <col min="1288" max="1295" width="13.85546875" style="2" bestFit="1" customWidth="1"/>
    <col min="1296" max="1296" width="16.28515625" style="2" customWidth="1"/>
    <col min="1297" max="1298" width="11.42578125" style="2"/>
    <col min="1299" max="1299" width="11.7109375" style="2" bestFit="1" customWidth="1"/>
    <col min="1300" max="1300" width="12.28515625" style="2" customWidth="1"/>
    <col min="1301" max="1531" width="11.42578125" style="2"/>
    <col min="1532" max="1532" width="32.42578125" style="2" customWidth="1"/>
    <col min="1533" max="1533" width="13.28515625" style="2" customWidth="1"/>
    <col min="1534" max="1534" width="11.85546875" style="2" customWidth="1"/>
    <col min="1535" max="1535" width="13.140625" style="2" customWidth="1"/>
    <col min="1536" max="1536" width="14.42578125" style="2" customWidth="1"/>
    <col min="1537" max="1537" width="12.85546875" style="2" customWidth="1"/>
    <col min="1538" max="1543" width="12.28515625" style="2" bestFit="1" customWidth="1"/>
    <col min="1544" max="1551" width="13.85546875" style="2" bestFit="1" customWidth="1"/>
    <col min="1552" max="1552" width="16.28515625" style="2" customWidth="1"/>
    <col min="1553" max="1554" width="11.42578125" style="2"/>
    <col min="1555" max="1555" width="11.7109375" style="2" bestFit="1" customWidth="1"/>
    <col min="1556" max="1556" width="12.28515625" style="2" customWidth="1"/>
    <col min="1557" max="1787" width="11.42578125" style="2"/>
    <col min="1788" max="1788" width="32.42578125" style="2" customWidth="1"/>
    <col min="1789" max="1789" width="13.28515625" style="2" customWidth="1"/>
    <col min="1790" max="1790" width="11.85546875" style="2" customWidth="1"/>
    <col min="1791" max="1791" width="13.140625" style="2" customWidth="1"/>
    <col min="1792" max="1792" width="14.42578125" style="2" customWidth="1"/>
    <col min="1793" max="1793" width="12.85546875" style="2" customWidth="1"/>
    <col min="1794" max="1799" width="12.28515625" style="2" bestFit="1" customWidth="1"/>
    <col min="1800" max="1807" width="13.85546875" style="2" bestFit="1" customWidth="1"/>
    <col min="1808" max="1808" width="16.28515625" style="2" customWidth="1"/>
    <col min="1809" max="1810" width="11.42578125" style="2"/>
    <col min="1811" max="1811" width="11.7109375" style="2" bestFit="1" customWidth="1"/>
    <col min="1812" max="1812" width="12.28515625" style="2" customWidth="1"/>
    <col min="1813" max="2043" width="11.42578125" style="2"/>
    <col min="2044" max="2044" width="32.42578125" style="2" customWidth="1"/>
    <col min="2045" max="2045" width="13.28515625" style="2" customWidth="1"/>
    <col min="2046" max="2046" width="11.85546875" style="2" customWidth="1"/>
    <col min="2047" max="2047" width="13.140625" style="2" customWidth="1"/>
    <col min="2048" max="2048" width="14.42578125" style="2" customWidth="1"/>
    <col min="2049" max="2049" width="12.85546875" style="2" customWidth="1"/>
    <col min="2050" max="2055" width="12.28515625" style="2" bestFit="1" customWidth="1"/>
    <col min="2056" max="2063" width="13.85546875" style="2" bestFit="1" customWidth="1"/>
    <col min="2064" max="2064" width="16.28515625" style="2" customWidth="1"/>
    <col min="2065" max="2066" width="11.42578125" style="2"/>
    <col min="2067" max="2067" width="11.7109375" style="2" bestFit="1" customWidth="1"/>
    <col min="2068" max="2068" width="12.28515625" style="2" customWidth="1"/>
    <col min="2069" max="2299" width="11.42578125" style="2"/>
    <col min="2300" max="2300" width="32.42578125" style="2" customWidth="1"/>
    <col min="2301" max="2301" width="13.28515625" style="2" customWidth="1"/>
    <col min="2302" max="2302" width="11.85546875" style="2" customWidth="1"/>
    <col min="2303" max="2303" width="13.140625" style="2" customWidth="1"/>
    <col min="2304" max="2304" width="14.42578125" style="2" customWidth="1"/>
    <col min="2305" max="2305" width="12.85546875" style="2" customWidth="1"/>
    <col min="2306" max="2311" width="12.28515625" style="2" bestFit="1" customWidth="1"/>
    <col min="2312" max="2319" width="13.85546875" style="2" bestFit="1" customWidth="1"/>
    <col min="2320" max="2320" width="16.28515625" style="2" customWidth="1"/>
    <col min="2321" max="2322" width="11.42578125" style="2"/>
    <col min="2323" max="2323" width="11.7109375" style="2" bestFit="1" customWidth="1"/>
    <col min="2324" max="2324" width="12.28515625" style="2" customWidth="1"/>
    <col min="2325" max="2555" width="11.42578125" style="2"/>
    <col min="2556" max="2556" width="32.42578125" style="2" customWidth="1"/>
    <col min="2557" max="2557" width="13.28515625" style="2" customWidth="1"/>
    <col min="2558" max="2558" width="11.85546875" style="2" customWidth="1"/>
    <col min="2559" max="2559" width="13.140625" style="2" customWidth="1"/>
    <col min="2560" max="2560" width="14.42578125" style="2" customWidth="1"/>
    <col min="2561" max="2561" width="12.85546875" style="2" customWidth="1"/>
    <col min="2562" max="2567" width="12.28515625" style="2" bestFit="1" customWidth="1"/>
    <col min="2568" max="2575" width="13.85546875" style="2" bestFit="1" customWidth="1"/>
    <col min="2576" max="2576" width="16.28515625" style="2" customWidth="1"/>
    <col min="2577" max="2578" width="11.42578125" style="2"/>
    <col min="2579" max="2579" width="11.7109375" style="2" bestFit="1" customWidth="1"/>
    <col min="2580" max="2580" width="12.28515625" style="2" customWidth="1"/>
    <col min="2581" max="2811" width="11.42578125" style="2"/>
    <col min="2812" max="2812" width="32.42578125" style="2" customWidth="1"/>
    <col min="2813" max="2813" width="13.28515625" style="2" customWidth="1"/>
    <col min="2814" max="2814" width="11.85546875" style="2" customWidth="1"/>
    <col min="2815" max="2815" width="13.140625" style="2" customWidth="1"/>
    <col min="2816" max="2816" width="14.42578125" style="2" customWidth="1"/>
    <col min="2817" max="2817" width="12.85546875" style="2" customWidth="1"/>
    <col min="2818" max="2823" width="12.28515625" style="2" bestFit="1" customWidth="1"/>
    <col min="2824" max="2831" width="13.85546875" style="2" bestFit="1" customWidth="1"/>
    <col min="2832" max="2832" width="16.28515625" style="2" customWidth="1"/>
    <col min="2833" max="2834" width="11.42578125" style="2"/>
    <col min="2835" max="2835" width="11.7109375" style="2" bestFit="1" customWidth="1"/>
    <col min="2836" max="2836" width="12.28515625" style="2" customWidth="1"/>
    <col min="2837" max="3067" width="11.42578125" style="2"/>
    <col min="3068" max="3068" width="32.42578125" style="2" customWidth="1"/>
    <col min="3069" max="3069" width="13.28515625" style="2" customWidth="1"/>
    <col min="3070" max="3070" width="11.85546875" style="2" customWidth="1"/>
    <col min="3071" max="3071" width="13.140625" style="2" customWidth="1"/>
    <col min="3072" max="3072" width="14.42578125" style="2" customWidth="1"/>
    <col min="3073" max="3073" width="12.85546875" style="2" customWidth="1"/>
    <col min="3074" max="3079" width="12.28515625" style="2" bestFit="1" customWidth="1"/>
    <col min="3080" max="3087" width="13.85546875" style="2" bestFit="1" customWidth="1"/>
    <col min="3088" max="3088" width="16.28515625" style="2" customWidth="1"/>
    <col min="3089" max="3090" width="11.42578125" style="2"/>
    <col min="3091" max="3091" width="11.7109375" style="2" bestFit="1" customWidth="1"/>
    <col min="3092" max="3092" width="12.28515625" style="2" customWidth="1"/>
    <col min="3093" max="3323" width="11.42578125" style="2"/>
    <col min="3324" max="3324" width="32.42578125" style="2" customWidth="1"/>
    <col min="3325" max="3325" width="13.28515625" style="2" customWidth="1"/>
    <col min="3326" max="3326" width="11.85546875" style="2" customWidth="1"/>
    <col min="3327" max="3327" width="13.140625" style="2" customWidth="1"/>
    <col min="3328" max="3328" width="14.42578125" style="2" customWidth="1"/>
    <col min="3329" max="3329" width="12.85546875" style="2" customWidth="1"/>
    <col min="3330" max="3335" width="12.28515625" style="2" bestFit="1" customWidth="1"/>
    <col min="3336" max="3343" width="13.85546875" style="2" bestFit="1" customWidth="1"/>
    <col min="3344" max="3344" width="16.28515625" style="2" customWidth="1"/>
    <col min="3345" max="3346" width="11.42578125" style="2"/>
    <col min="3347" max="3347" width="11.7109375" style="2" bestFit="1" customWidth="1"/>
    <col min="3348" max="3348" width="12.28515625" style="2" customWidth="1"/>
    <col min="3349" max="3579" width="11.42578125" style="2"/>
    <col min="3580" max="3580" width="32.42578125" style="2" customWidth="1"/>
    <col min="3581" max="3581" width="13.28515625" style="2" customWidth="1"/>
    <col min="3582" max="3582" width="11.85546875" style="2" customWidth="1"/>
    <col min="3583" max="3583" width="13.140625" style="2" customWidth="1"/>
    <col min="3584" max="3584" width="14.42578125" style="2" customWidth="1"/>
    <col min="3585" max="3585" width="12.85546875" style="2" customWidth="1"/>
    <col min="3586" max="3591" width="12.28515625" style="2" bestFit="1" customWidth="1"/>
    <col min="3592" max="3599" width="13.85546875" style="2" bestFit="1" customWidth="1"/>
    <col min="3600" max="3600" width="16.28515625" style="2" customWidth="1"/>
    <col min="3601" max="3602" width="11.42578125" style="2"/>
    <col min="3603" max="3603" width="11.7109375" style="2" bestFit="1" customWidth="1"/>
    <col min="3604" max="3604" width="12.28515625" style="2" customWidth="1"/>
    <col min="3605" max="3835" width="11.42578125" style="2"/>
    <col min="3836" max="3836" width="32.42578125" style="2" customWidth="1"/>
    <col min="3837" max="3837" width="13.28515625" style="2" customWidth="1"/>
    <col min="3838" max="3838" width="11.85546875" style="2" customWidth="1"/>
    <col min="3839" max="3839" width="13.140625" style="2" customWidth="1"/>
    <col min="3840" max="3840" width="14.42578125" style="2" customWidth="1"/>
    <col min="3841" max="3841" width="12.85546875" style="2" customWidth="1"/>
    <col min="3842" max="3847" width="12.28515625" style="2" bestFit="1" customWidth="1"/>
    <col min="3848" max="3855" width="13.85546875" style="2" bestFit="1" customWidth="1"/>
    <col min="3856" max="3856" width="16.28515625" style="2" customWidth="1"/>
    <col min="3857" max="3858" width="11.42578125" style="2"/>
    <col min="3859" max="3859" width="11.7109375" style="2" bestFit="1" customWidth="1"/>
    <col min="3860" max="3860" width="12.28515625" style="2" customWidth="1"/>
    <col min="3861" max="4091" width="11.42578125" style="2"/>
    <col min="4092" max="4092" width="32.42578125" style="2" customWidth="1"/>
    <col min="4093" max="4093" width="13.28515625" style="2" customWidth="1"/>
    <col min="4094" max="4094" width="11.85546875" style="2" customWidth="1"/>
    <col min="4095" max="4095" width="13.140625" style="2" customWidth="1"/>
    <col min="4096" max="4096" width="14.42578125" style="2" customWidth="1"/>
    <col min="4097" max="4097" width="12.85546875" style="2" customWidth="1"/>
    <col min="4098" max="4103" width="12.28515625" style="2" bestFit="1" customWidth="1"/>
    <col min="4104" max="4111" width="13.85546875" style="2" bestFit="1" customWidth="1"/>
    <col min="4112" max="4112" width="16.28515625" style="2" customWidth="1"/>
    <col min="4113" max="4114" width="11.42578125" style="2"/>
    <col min="4115" max="4115" width="11.7109375" style="2" bestFit="1" customWidth="1"/>
    <col min="4116" max="4116" width="12.28515625" style="2" customWidth="1"/>
    <col min="4117" max="4347" width="11.42578125" style="2"/>
    <col min="4348" max="4348" width="32.42578125" style="2" customWidth="1"/>
    <col min="4349" max="4349" width="13.28515625" style="2" customWidth="1"/>
    <col min="4350" max="4350" width="11.85546875" style="2" customWidth="1"/>
    <col min="4351" max="4351" width="13.140625" style="2" customWidth="1"/>
    <col min="4352" max="4352" width="14.42578125" style="2" customWidth="1"/>
    <col min="4353" max="4353" width="12.85546875" style="2" customWidth="1"/>
    <col min="4354" max="4359" width="12.28515625" style="2" bestFit="1" customWidth="1"/>
    <col min="4360" max="4367" width="13.85546875" style="2" bestFit="1" customWidth="1"/>
    <col min="4368" max="4368" width="16.28515625" style="2" customWidth="1"/>
    <col min="4369" max="4370" width="11.42578125" style="2"/>
    <col min="4371" max="4371" width="11.7109375" style="2" bestFit="1" customWidth="1"/>
    <col min="4372" max="4372" width="12.28515625" style="2" customWidth="1"/>
    <col min="4373" max="4603" width="11.42578125" style="2"/>
    <col min="4604" max="4604" width="32.42578125" style="2" customWidth="1"/>
    <col min="4605" max="4605" width="13.28515625" style="2" customWidth="1"/>
    <col min="4606" max="4606" width="11.85546875" style="2" customWidth="1"/>
    <col min="4607" max="4607" width="13.140625" style="2" customWidth="1"/>
    <col min="4608" max="4608" width="14.42578125" style="2" customWidth="1"/>
    <col min="4609" max="4609" width="12.85546875" style="2" customWidth="1"/>
    <col min="4610" max="4615" width="12.28515625" style="2" bestFit="1" customWidth="1"/>
    <col min="4616" max="4623" width="13.85546875" style="2" bestFit="1" customWidth="1"/>
    <col min="4624" max="4624" width="16.28515625" style="2" customWidth="1"/>
    <col min="4625" max="4626" width="11.42578125" style="2"/>
    <col min="4627" max="4627" width="11.7109375" style="2" bestFit="1" customWidth="1"/>
    <col min="4628" max="4628" width="12.28515625" style="2" customWidth="1"/>
    <col min="4629" max="4859" width="11.42578125" style="2"/>
    <col min="4860" max="4860" width="32.42578125" style="2" customWidth="1"/>
    <col min="4861" max="4861" width="13.28515625" style="2" customWidth="1"/>
    <col min="4862" max="4862" width="11.85546875" style="2" customWidth="1"/>
    <col min="4863" max="4863" width="13.140625" style="2" customWidth="1"/>
    <col min="4864" max="4864" width="14.42578125" style="2" customWidth="1"/>
    <col min="4865" max="4865" width="12.85546875" style="2" customWidth="1"/>
    <col min="4866" max="4871" width="12.28515625" style="2" bestFit="1" customWidth="1"/>
    <col min="4872" max="4879" width="13.85546875" style="2" bestFit="1" customWidth="1"/>
    <col min="4880" max="4880" width="16.28515625" style="2" customWidth="1"/>
    <col min="4881" max="4882" width="11.42578125" style="2"/>
    <col min="4883" max="4883" width="11.7109375" style="2" bestFit="1" customWidth="1"/>
    <col min="4884" max="4884" width="12.28515625" style="2" customWidth="1"/>
    <col min="4885" max="5115" width="11.42578125" style="2"/>
    <col min="5116" max="5116" width="32.42578125" style="2" customWidth="1"/>
    <col min="5117" max="5117" width="13.28515625" style="2" customWidth="1"/>
    <col min="5118" max="5118" width="11.85546875" style="2" customWidth="1"/>
    <col min="5119" max="5119" width="13.140625" style="2" customWidth="1"/>
    <col min="5120" max="5120" width="14.42578125" style="2" customWidth="1"/>
    <col min="5121" max="5121" width="12.85546875" style="2" customWidth="1"/>
    <col min="5122" max="5127" width="12.28515625" style="2" bestFit="1" customWidth="1"/>
    <col min="5128" max="5135" width="13.85546875" style="2" bestFit="1" customWidth="1"/>
    <col min="5136" max="5136" width="16.28515625" style="2" customWidth="1"/>
    <col min="5137" max="5138" width="11.42578125" style="2"/>
    <col min="5139" max="5139" width="11.7109375" style="2" bestFit="1" customWidth="1"/>
    <col min="5140" max="5140" width="12.28515625" style="2" customWidth="1"/>
    <col min="5141" max="5371" width="11.42578125" style="2"/>
    <col min="5372" max="5372" width="32.42578125" style="2" customWidth="1"/>
    <col min="5373" max="5373" width="13.28515625" style="2" customWidth="1"/>
    <col min="5374" max="5374" width="11.85546875" style="2" customWidth="1"/>
    <col min="5375" max="5375" width="13.140625" style="2" customWidth="1"/>
    <col min="5376" max="5376" width="14.42578125" style="2" customWidth="1"/>
    <col min="5377" max="5377" width="12.85546875" style="2" customWidth="1"/>
    <col min="5378" max="5383" width="12.28515625" style="2" bestFit="1" customWidth="1"/>
    <col min="5384" max="5391" width="13.85546875" style="2" bestFit="1" customWidth="1"/>
    <col min="5392" max="5392" width="16.28515625" style="2" customWidth="1"/>
    <col min="5393" max="5394" width="11.42578125" style="2"/>
    <col min="5395" max="5395" width="11.7109375" style="2" bestFit="1" customWidth="1"/>
    <col min="5396" max="5396" width="12.28515625" style="2" customWidth="1"/>
    <col min="5397" max="5627" width="11.42578125" style="2"/>
    <col min="5628" max="5628" width="32.42578125" style="2" customWidth="1"/>
    <col min="5629" max="5629" width="13.28515625" style="2" customWidth="1"/>
    <col min="5630" max="5630" width="11.85546875" style="2" customWidth="1"/>
    <col min="5631" max="5631" width="13.140625" style="2" customWidth="1"/>
    <col min="5632" max="5632" width="14.42578125" style="2" customWidth="1"/>
    <col min="5633" max="5633" width="12.85546875" style="2" customWidth="1"/>
    <col min="5634" max="5639" width="12.28515625" style="2" bestFit="1" customWidth="1"/>
    <col min="5640" max="5647" width="13.85546875" style="2" bestFit="1" customWidth="1"/>
    <col min="5648" max="5648" width="16.28515625" style="2" customWidth="1"/>
    <col min="5649" max="5650" width="11.42578125" style="2"/>
    <col min="5651" max="5651" width="11.7109375" style="2" bestFit="1" customWidth="1"/>
    <col min="5652" max="5652" width="12.28515625" style="2" customWidth="1"/>
    <col min="5653" max="5883" width="11.42578125" style="2"/>
    <col min="5884" max="5884" width="32.42578125" style="2" customWidth="1"/>
    <col min="5885" max="5885" width="13.28515625" style="2" customWidth="1"/>
    <col min="5886" max="5886" width="11.85546875" style="2" customWidth="1"/>
    <col min="5887" max="5887" width="13.140625" style="2" customWidth="1"/>
    <col min="5888" max="5888" width="14.42578125" style="2" customWidth="1"/>
    <col min="5889" max="5889" width="12.85546875" style="2" customWidth="1"/>
    <col min="5890" max="5895" width="12.28515625" style="2" bestFit="1" customWidth="1"/>
    <col min="5896" max="5903" width="13.85546875" style="2" bestFit="1" customWidth="1"/>
    <col min="5904" max="5904" width="16.28515625" style="2" customWidth="1"/>
    <col min="5905" max="5906" width="11.42578125" style="2"/>
    <col min="5907" max="5907" width="11.7109375" style="2" bestFit="1" customWidth="1"/>
    <col min="5908" max="5908" width="12.28515625" style="2" customWidth="1"/>
    <col min="5909" max="6139" width="11.42578125" style="2"/>
    <col min="6140" max="6140" width="32.42578125" style="2" customWidth="1"/>
    <col min="6141" max="6141" width="13.28515625" style="2" customWidth="1"/>
    <col min="6142" max="6142" width="11.85546875" style="2" customWidth="1"/>
    <col min="6143" max="6143" width="13.140625" style="2" customWidth="1"/>
    <col min="6144" max="6144" width="14.42578125" style="2" customWidth="1"/>
    <col min="6145" max="6145" width="12.85546875" style="2" customWidth="1"/>
    <col min="6146" max="6151" width="12.28515625" style="2" bestFit="1" customWidth="1"/>
    <col min="6152" max="6159" width="13.85546875" style="2" bestFit="1" customWidth="1"/>
    <col min="6160" max="6160" width="16.28515625" style="2" customWidth="1"/>
    <col min="6161" max="6162" width="11.42578125" style="2"/>
    <col min="6163" max="6163" width="11.7109375" style="2" bestFit="1" customWidth="1"/>
    <col min="6164" max="6164" width="12.28515625" style="2" customWidth="1"/>
    <col min="6165" max="6395" width="11.42578125" style="2"/>
    <col min="6396" max="6396" width="32.42578125" style="2" customWidth="1"/>
    <col min="6397" max="6397" width="13.28515625" style="2" customWidth="1"/>
    <col min="6398" max="6398" width="11.85546875" style="2" customWidth="1"/>
    <col min="6399" max="6399" width="13.140625" style="2" customWidth="1"/>
    <col min="6400" max="6400" width="14.42578125" style="2" customWidth="1"/>
    <col min="6401" max="6401" width="12.85546875" style="2" customWidth="1"/>
    <col min="6402" max="6407" width="12.28515625" style="2" bestFit="1" customWidth="1"/>
    <col min="6408" max="6415" width="13.85546875" style="2" bestFit="1" customWidth="1"/>
    <col min="6416" max="6416" width="16.28515625" style="2" customWidth="1"/>
    <col min="6417" max="6418" width="11.42578125" style="2"/>
    <col min="6419" max="6419" width="11.7109375" style="2" bestFit="1" customWidth="1"/>
    <col min="6420" max="6420" width="12.28515625" style="2" customWidth="1"/>
    <col min="6421" max="6651" width="11.42578125" style="2"/>
    <col min="6652" max="6652" width="32.42578125" style="2" customWidth="1"/>
    <col min="6653" max="6653" width="13.28515625" style="2" customWidth="1"/>
    <col min="6654" max="6654" width="11.85546875" style="2" customWidth="1"/>
    <col min="6655" max="6655" width="13.140625" style="2" customWidth="1"/>
    <col min="6656" max="6656" width="14.42578125" style="2" customWidth="1"/>
    <col min="6657" max="6657" width="12.85546875" style="2" customWidth="1"/>
    <col min="6658" max="6663" width="12.28515625" style="2" bestFit="1" customWidth="1"/>
    <col min="6664" max="6671" width="13.85546875" style="2" bestFit="1" customWidth="1"/>
    <col min="6672" max="6672" width="16.28515625" style="2" customWidth="1"/>
    <col min="6673" max="6674" width="11.42578125" style="2"/>
    <col min="6675" max="6675" width="11.7109375" style="2" bestFit="1" customWidth="1"/>
    <col min="6676" max="6676" width="12.28515625" style="2" customWidth="1"/>
    <col min="6677" max="6907" width="11.42578125" style="2"/>
    <col min="6908" max="6908" width="32.42578125" style="2" customWidth="1"/>
    <col min="6909" max="6909" width="13.28515625" style="2" customWidth="1"/>
    <col min="6910" max="6910" width="11.85546875" style="2" customWidth="1"/>
    <col min="6911" max="6911" width="13.140625" style="2" customWidth="1"/>
    <col min="6912" max="6912" width="14.42578125" style="2" customWidth="1"/>
    <col min="6913" max="6913" width="12.85546875" style="2" customWidth="1"/>
    <col min="6914" max="6919" width="12.28515625" style="2" bestFit="1" customWidth="1"/>
    <col min="6920" max="6927" width="13.85546875" style="2" bestFit="1" customWidth="1"/>
    <col min="6928" max="6928" width="16.28515625" style="2" customWidth="1"/>
    <col min="6929" max="6930" width="11.42578125" style="2"/>
    <col min="6931" max="6931" width="11.7109375" style="2" bestFit="1" customWidth="1"/>
    <col min="6932" max="6932" width="12.28515625" style="2" customWidth="1"/>
    <col min="6933" max="7163" width="11.42578125" style="2"/>
    <col min="7164" max="7164" width="32.42578125" style="2" customWidth="1"/>
    <col min="7165" max="7165" width="13.28515625" style="2" customWidth="1"/>
    <col min="7166" max="7166" width="11.85546875" style="2" customWidth="1"/>
    <col min="7167" max="7167" width="13.140625" style="2" customWidth="1"/>
    <col min="7168" max="7168" width="14.42578125" style="2" customWidth="1"/>
    <col min="7169" max="7169" width="12.85546875" style="2" customWidth="1"/>
    <col min="7170" max="7175" width="12.28515625" style="2" bestFit="1" customWidth="1"/>
    <col min="7176" max="7183" width="13.85546875" style="2" bestFit="1" customWidth="1"/>
    <col min="7184" max="7184" width="16.28515625" style="2" customWidth="1"/>
    <col min="7185" max="7186" width="11.42578125" style="2"/>
    <col min="7187" max="7187" width="11.7109375" style="2" bestFit="1" customWidth="1"/>
    <col min="7188" max="7188" width="12.28515625" style="2" customWidth="1"/>
    <col min="7189" max="7419" width="11.42578125" style="2"/>
    <col min="7420" max="7420" width="32.42578125" style="2" customWidth="1"/>
    <col min="7421" max="7421" width="13.28515625" style="2" customWidth="1"/>
    <col min="7422" max="7422" width="11.85546875" style="2" customWidth="1"/>
    <col min="7423" max="7423" width="13.140625" style="2" customWidth="1"/>
    <col min="7424" max="7424" width="14.42578125" style="2" customWidth="1"/>
    <col min="7425" max="7425" width="12.85546875" style="2" customWidth="1"/>
    <col min="7426" max="7431" width="12.28515625" style="2" bestFit="1" customWidth="1"/>
    <col min="7432" max="7439" width="13.85546875" style="2" bestFit="1" customWidth="1"/>
    <col min="7440" max="7440" width="16.28515625" style="2" customWidth="1"/>
    <col min="7441" max="7442" width="11.42578125" style="2"/>
    <col min="7443" max="7443" width="11.7109375" style="2" bestFit="1" customWidth="1"/>
    <col min="7444" max="7444" width="12.28515625" style="2" customWidth="1"/>
    <col min="7445" max="7675" width="11.42578125" style="2"/>
    <col min="7676" max="7676" width="32.42578125" style="2" customWidth="1"/>
    <col min="7677" max="7677" width="13.28515625" style="2" customWidth="1"/>
    <col min="7678" max="7678" width="11.85546875" style="2" customWidth="1"/>
    <col min="7679" max="7679" width="13.140625" style="2" customWidth="1"/>
    <col min="7680" max="7680" width="14.42578125" style="2" customWidth="1"/>
    <col min="7681" max="7681" width="12.85546875" style="2" customWidth="1"/>
    <col min="7682" max="7687" width="12.28515625" style="2" bestFit="1" customWidth="1"/>
    <col min="7688" max="7695" width="13.85546875" style="2" bestFit="1" customWidth="1"/>
    <col min="7696" max="7696" width="16.28515625" style="2" customWidth="1"/>
    <col min="7697" max="7698" width="11.42578125" style="2"/>
    <col min="7699" max="7699" width="11.7109375" style="2" bestFit="1" customWidth="1"/>
    <col min="7700" max="7700" width="12.28515625" style="2" customWidth="1"/>
    <col min="7701" max="7931" width="11.42578125" style="2"/>
    <col min="7932" max="7932" width="32.42578125" style="2" customWidth="1"/>
    <col min="7933" max="7933" width="13.28515625" style="2" customWidth="1"/>
    <col min="7934" max="7934" width="11.85546875" style="2" customWidth="1"/>
    <col min="7935" max="7935" width="13.140625" style="2" customWidth="1"/>
    <col min="7936" max="7936" width="14.42578125" style="2" customWidth="1"/>
    <col min="7937" max="7937" width="12.85546875" style="2" customWidth="1"/>
    <col min="7938" max="7943" width="12.28515625" style="2" bestFit="1" customWidth="1"/>
    <col min="7944" max="7951" width="13.85546875" style="2" bestFit="1" customWidth="1"/>
    <col min="7952" max="7952" width="16.28515625" style="2" customWidth="1"/>
    <col min="7953" max="7954" width="11.42578125" style="2"/>
    <col min="7955" max="7955" width="11.7109375" style="2" bestFit="1" customWidth="1"/>
    <col min="7956" max="7956" width="12.28515625" style="2" customWidth="1"/>
    <col min="7957" max="8187" width="11.42578125" style="2"/>
    <col min="8188" max="8188" width="32.42578125" style="2" customWidth="1"/>
    <col min="8189" max="8189" width="13.28515625" style="2" customWidth="1"/>
    <col min="8190" max="8190" width="11.85546875" style="2" customWidth="1"/>
    <col min="8191" max="8191" width="13.140625" style="2" customWidth="1"/>
    <col min="8192" max="8192" width="14.42578125" style="2" customWidth="1"/>
    <col min="8193" max="8193" width="12.85546875" style="2" customWidth="1"/>
    <col min="8194" max="8199" width="12.28515625" style="2" bestFit="1" customWidth="1"/>
    <col min="8200" max="8207" width="13.85546875" style="2" bestFit="1" customWidth="1"/>
    <col min="8208" max="8208" width="16.28515625" style="2" customWidth="1"/>
    <col min="8209" max="8210" width="11.42578125" style="2"/>
    <col min="8211" max="8211" width="11.7109375" style="2" bestFit="1" customWidth="1"/>
    <col min="8212" max="8212" width="12.28515625" style="2" customWidth="1"/>
    <col min="8213" max="8443" width="11.42578125" style="2"/>
    <col min="8444" max="8444" width="32.42578125" style="2" customWidth="1"/>
    <col min="8445" max="8445" width="13.28515625" style="2" customWidth="1"/>
    <col min="8446" max="8446" width="11.85546875" style="2" customWidth="1"/>
    <col min="8447" max="8447" width="13.140625" style="2" customWidth="1"/>
    <col min="8448" max="8448" width="14.42578125" style="2" customWidth="1"/>
    <col min="8449" max="8449" width="12.85546875" style="2" customWidth="1"/>
    <col min="8450" max="8455" width="12.28515625" style="2" bestFit="1" customWidth="1"/>
    <col min="8456" max="8463" width="13.85546875" style="2" bestFit="1" customWidth="1"/>
    <col min="8464" max="8464" width="16.28515625" style="2" customWidth="1"/>
    <col min="8465" max="8466" width="11.42578125" style="2"/>
    <col min="8467" max="8467" width="11.7109375" style="2" bestFit="1" customWidth="1"/>
    <col min="8468" max="8468" width="12.28515625" style="2" customWidth="1"/>
    <col min="8469" max="8699" width="11.42578125" style="2"/>
    <col min="8700" max="8700" width="32.42578125" style="2" customWidth="1"/>
    <col min="8701" max="8701" width="13.28515625" style="2" customWidth="1"/>
    <col min="8702" max="8702" width="11.85546875" style="2" customWidth="1"/>
    <col min="8703" max="8703" width="13.140625" style="2" customWidth="1"/>
    <col min="8704" max="8704" width="14.42578125" style="2" customWidth="1"/>
    <col min="8705" max="8705" width="12.85546875" style="2" customWidth="1"/>
    <col min="8706" max="8711" width="12.28515625" style="2" bestFit="1" customWidth="1"/>
    <col min="8712" max="8719" width="13.85546875" style="2" bestFit="1" customWidth="1"/>
    <col min="8720" max="8720" width="16.28515625" style="2" customWidth="1"/>
    <col min="8721" max="8722" width="11.42578125" style="2"/>
    <col min="8723" max="8723" width="11.7109375" style="2" bestFit="1" customWidth="1"/>
    <col min="8724" max="8724" width="12.28515625" style="2" customWidth="1"/>
    <col min="8725" max="8955" width="11.42578125" style="2"/>
    <col min="8956" max="8956" width="32.42578125" style="2" customWidth="1"/>
    <col min="8957" max="8957" width="13.28515625" style="2" customWidth="1"/>
    <col min="8958" max="8958" width="11.85546875" style="2" customWidth="1"/>
    <col min="8959" max="8959" width="13.140625" style="2" customWidth="1"/>
    <col min="8960" max="8960" width="14.42578125" style="2" customWidth="1"/>
    <col min="8961" max="8961" width="12.85546875" style="2" customWidth="1"/>
    <col min="8962" max="8967" width="12.28515625" style="2" bestFit="1" customWidth="1"/>
    <col min="8968" max="8975" width="13.85546875" style="2" bestFit="1" customWidth="1"/>
    <col min="8976" max="8976" width="16.28515625" style="2" customWidth="1"/>
    <col min="8977" max="8978" width="11.42578125" style="2"/>
    <col min="8979" max="8979" width="11.7109375" style="2" bestFit="1" customWidth="1"/>
    <col min="8980" max="8980" width="12.28515625" style="2" customWidth="1"/>
    <col min="8981" max="9211" width="11.42578125" style="2"/>
    <col min="9212" max="9212" width="32.42578125" style="2" customWidth="1"/>
    <col min="9213" max="9213" width="13.28515625" style="2" customWidth="1"/>
    <col min="9214" max="9214" width="11.85546875" style="2" customWidth="1"/>
    <col min="9215" max="9215" width="13.140625" style="2" customWidth="1"/>
    <col min="9216" max="9216" width="14.42578125" style="2" customWidth="1"/>
    <col min="9217" max="9217" width="12.85546875" style="2" customWidth="1"/>
    <col min="9218" max="9223" width="12.28515625" style="2" bestFit="1" customWidth="1"/>
    <col min="9224" max="9231" width="13.85546875" style="2" bestFit="1" customWidth="1"/>
    <col min="9232" max="9232" width="16.28515625" style="2" customWidth="1"/>
    <col min="9233" max="9234" width="11.42578125" style="2"/>
    <col min="9235" max="9235" width="11.7109375" style="2" bestFit="1" customWidth="1"/>
    <col min="9236" max="9236" width="12.28515625" style="2" customWidth="1"/>
    <col min="9237" max="9467" width="11.42578125" style="2"/>
    <col min="9468" max="9468" width="32.42578125" style="2" customWidth="1"/>
    <col min="9469" max="9469" width="13.28515625" style="2" customWidth="1"/>
    <col min="9470" max="9470" width="11.85546875" style="2" customWidth="1"/>
    <col min="9471" max="9471" width="13.140625" style="2" customWidth="1"/>
    <col min="9472" max="9472" width="14.42578125" style="2" customWidth="1"/>
    <col min="9473" max="9473" width="12.85546875" style="2" customWidth="1"/>
    <col min="9474" max="9479" width="12.28515625" style="2" bestFit="1" customWidth="1"/>
    <col min="9480" max="9487" width="13.85546875" style="2" bestFit="1" customWidth="1"/>
    <col min="9488" max="9488" width="16.28515625" style="2" customWidth="1"/>
    <col min="9489" max="9490" width="11.42578125" style="2"/>
    <col min="9491" max="9491" width="11.7109375" style="2" bestFit="1" customWidth="1"/>
    <col min="9492" max="9492" width="12.28515625" style="2" customWidth="1"/>
    <col min="9493" max="9723" width="11.42578125" style="2"/>
    <col min="9724" max="9724" width="32.42578125" style="2" customWidth="1"/>
    <col min="9725" max="9725" width="13.28515625" style="2" customWidth="1"/>
    <col min="9726" max="9726" width="11.85546875" style="2" customWidth="1"/>
    <col min="9727" max="9727" width="13.140625" style="2" customWidth="1"/>
    <col min="9728" max="9728" width="14.42578125" style="2" customWidth="1"/>
    <col min="9729" max="9729" width="12.85546875" style="2" customWidth="1"/>
    <col min="9730" max="9735" width="12.28515625" style="2" bestFit="1" customWidth="1"/>
    <col min="9736" max="9743" width="13.85546875" style="2" bestFit="1" customWidth="1"/>
    <col min="9744" max="9744" width="16.28515625" style="2" customWidth="1"/>
    <col min="9745" max="9746" width="11.42578125" style="2"/>
    <col min="9747" max="9747" width="11.7109375" style="2" bestFit="1" customWidth="1"/>
    <col min="9748" max="9748" width="12.28515625" style="2" customWidth="1"/>
    <col min="9749" max="9979" width="11.42578125" style="2"/>
    <col min="9980" max="9980" width="32.42578125" style="2" customWidth="1"/>
    <col min="9981" max="9981" width="13.28515625" style="2" customWidth="1"/>
    <col min="9982" max="9982" width="11.85546875" style="2" customWidth="1"/>
    <col min="9983" max="9983" width="13.140625" style="2" customWidth="1"/>
    <col min="9984" max="9984" width="14.42578125" style="2" customWidth="1"/>
    <col min="9985" max="9985" width="12.85546875" style="2" customWidth="1"/>
    <col min="9986" max="9991" width="12.28515625" style="2" bestFit="1" customWidth="1"/>
    <col min="9992" max="9999" width="13.85546875" style="2" bestFit="1" customWidth="1"/>
    <col min="10000" max="10000" width="16.28515625" style="2" customWidth="1"/>
    <col min="10001" max="10002" width="11.42578125" style="2"/>
    <col min="10003" max="10003" width="11.7109375" style="2" bestFit="1" customWidth="1"/>
    <col min="10004" max="10004" width="12.28515625" style="2" customWidth="1"/>
    <col min="10005" max="10235" width="11.42578125" style="2"/>
    <col min="10236" max="10236" width="32.42578125" style="2" customWidth="1"/>
    <col min="10237" max="10237" width="13.28515625" style="2" customWidth="1"/>
    <col min="10238" max="10238" width="11.85546875" style="2" customWidth="1"/>
    <col min="10239" max="10239" width="13.140625" style="2" customWidth="1"/>
    <col min="10240" max="10240" width="14.42578125" style="2" customWidth="1"/>
    <col min="10241" max="10241" width="12.85546875" style="2" customWidth="1"/>
    <col min="10242" max="10247" width="12.28515625" style="2" bestFit="1" customWidth="1"/>
    <col min="10248" max="10255" width="13.85546875" style="2" bestFit="1" customWidth="1"/>
    <col min="10256" max="10256" width="16.28515625" style="2" customWidth="1"/>
    <col min="10257" max="10258" width="11.42578125" style="2"/>
    <col min="10259" max="10259" width="11.7109375" style="2" bestFit="1" customWidth="1"/>
    <col min="10260" max="10260" width="12.28515625" style="2" customWidth="1"/>
    <col min="10261" max="10491" width="11.42578125" style="2"/>
    <col min="10492" max="10492" width="32.42578125" style="2" customWidth="1"/>
    <col min="10493" max="10493" width="13.28515625" style="2" customWidth="1"/>
    <col min="10494" max="10494" width="11.85546875" style="2" customWidth="1"/>
    <col min="10495" max="10495" width="13.140625" style="2" customWidth="1"/>
    <col min="10496" max="10496" width="14.42578125" style="2" customWidth="1"/>
    <col min="10497" max="10497" width="12.85546875" style="2" customWidth="1"/>
    <col min="10498" max="10503" width="12.28515625" style="2" bestFit="1" customWidth="1"/>
    <col min="10504" max="10511" width="13.85546875" style="2" bestFit="1" customWidth="1"/>
    <col min="10512" max="10512" width="16.28515625" style="2" customWidth="1"/>
    <col min="10513" max="10514" width="11.42578125" style="2"/>
    <col min="10515" max="10515" width="11.7109375" style="2" bestFit="1" customWidth="1"/>
    <col min="10516" max="10516" width="12.28515625" style="2" customWidth="1"/>
    <col min="10517" max="10747" width="11.42578125" style="2"/>
    <col min="10748" max="10748" width="32.42578125" style="2" customWidth="1"/>
    <col min="10749" max="10749" width="13.28515625" style="2" customWidth="1"/>
    <col min="10750" max="10750" width="11.85546875" style="2" customWidth="1"/>
    <col min="10751" max="10751" width="13.140625" style="2" customWidth="1"/>
    <col min="10752" max="10752" width="14.42578125" style="2" customWidth="1"/>
    <col min="10753" max="10753" width="12.85546875" style="2" customWidth="1"/>
    <col min="10754" max="10759" width="12.28515625" style="2" bestFit="1" customWidth="1"/>
    <col min="10760" max="10767" width="13.85546875" style="2" bestFit="1" customWidth="1"/>
    <col min="10768" max="10768" width="16.28515625" style="2" customWidth="1"/>
    <col min="10769" max="10770" width="11.42578125" style="2"/>
    <col min="10771" max="10771" width="11.7109375" style="2" bestFit="1" customWidth="1"/>
    <col min="10772" max="10772" width="12.28515625" style="2" customWidth="1"/>
    <col min="10773" max="11003" width="11.42578125" style="2"/>
    <col min="11004" max="11004" width="32.42578125" style="2" customWidth="1"/>
    <col min="11005" max="11005" width="13.28515625" style="2" customWidth="1"/>
    <col min="11006" max="11006" width="11.85546875" style="2" customWidth="1"/>
    <col min="11007" max="11007" width="13.140625" style="2" customWidth="1"/>
    <col min="11008" max="11008" width="14.42578125" style="2" customWidth="1"/>
    <col min="11009" max="11009" width="12.85546875" style="2" customWidth="1"/>
    <col min="11010" max="11015" width="12.28515625" style="2" bestFit="1" customWidth="1"/>
    <col min="11016" max="11023" width="13.85546875" style="2" bestFit="1" customWidth="1"/>
    <col min="11024" max="11024" width="16.28515625" style="2" customWidth="1"/>
    <col min="11025" max="11026" width="11.42578125" style="2"/>
    <col min="11027" max="11027" width="11.7109375" style="2" bestFit="1" customWidth="1"/>
    <col min="11028" max="11028" width="12.28515625" style="2" customWidth="1"/>
    <col min="11029" max="11259" width="11.42578125" style="2"/>
    <col min="11260" max="11260" width="32.42578125" style="2" customWidth="1"/>
    <col min="11261" max="11261" width="13.28515625" style="2" customWidth="1"/>
    <col min="11262" max="11262" width="11.85546875" style="2" customWidth="1"/>
    <col min="11263" max="11263" width="13.140625" style="2" customWidth="1"/>
    <col min="11264" max="11264" width="14.42578125" style="2" customWidth="1"/>
    <col min="11265" max="11265" width="12.85546875" style="2" customWidth="1"/>
    <col min="11266" max="11271" width="12.28515625" style="2" bestFit="1" customWidth="1"/>
    <col min="11272" max="11279" width="13.85546875" style="2" bestFit="1" customWidth="1"/>
    <col min="11280" max="11280" width="16.28515625" style="2" customWidth="1"/>
    <col min="11281" max="11282" width="11.42578125" style="2"/>
    <col min="11283" max="11283" width="11.7109375" style="2" bestFit="1" customWidth="1"/>
    <col min="11284" max="11284" width="12.28515625" style="2" customWidth="1"/>
    <col min="11285" max="11515" width="11.42578125" style="2"/>
    <col min="11516" max="11516" width="32.42578125" style="2" customWidth="1"/>
    <col min="11517" max="11517" width="13.28515625" style="2" customWidth="1"/>
    <col min="11518" max="11518" width="11.85546875" style="2" customWidth="1"/>
    <col min="11519" max="11519" width="13.140625" style="2" customWidth="1"/>
    <col min="11520" max="11520" width="14.42578125" style="2" customWidth="1"/>
    <col min="11521" max="11521" width="12.85546875" style="2" customWidth="1"/>
    <col min="11522" max="11527" width="12.28515625" style="2" bestFit="1" customWidth="1"/>
    <col min="11528" max="11535" width="13.85546875" style="2" bestFit="1" customWidth="1"/>
    <col min="11536" max="11536" width="16.28515625" style="2" customWidth="1"/>
    <col min="11537" max="11538" width="11.42578125" style="2"/>
    <col min="11539" max="11539" width="11.7109375" style="2" bestFit="1" customWidth="1"/>
    <col min="11540" max="11540" width="12.28515625" style="2" customWidth="1"/>
    <col min="11541" max="11771" width="11.42578125" style="2"/>
    <col min="11772" max="11772" width="32.42578125" style="2" customWidth="1"/>
    <col min="11773" max="11773" width="13.28515625" style="2" customWidth="1"/>
    <col min="11774" max="11774" width="11.85546875" style="2" customWidth="1"/>
    <col min="11775" max="11775" width="13.140625" style="2" customWidth="1"/>
    <col min="11776" max="11776" width="14.42578125" style="2" customWidth="1"/>
    <col min="11777" max="11777" width="12.85546875" style="2" customWidth="1"/>
    <col min="11778" max="11783" width="12.28515625" style="2" bestFit="1" customWidth="1"/>
    <col min="11784" max="11791" width="13.85546875" style="2" bestFit="1" customWidth="1"/>
    <col min="11792" max="11792" width="16.28515625" style="2" customWidth="1"/>
    <col min="11793" max="11794" width="11.42578125" style="2"/>
    <col min="11795" max="11795" width="11.7109375" style="2" bestFit="1" customWidth="1"/>
    <col min="11796" max="11796" width="12.28515625" style="2" customWidth="1"/>
    <col min="11797" max="12027" width="11.42578125" style="2"/>
    <col min="12028" max="12028" width="32.42578125" style="2" customWidth="1"/>
    <col min="12029" max="12029" width="13.28515625" style="2" customWidth="1"/>
    <col min="12030" max="12030" width="11.85546875" style="2" customWidth="1"/>
    <col min="12031" max="12031" width="13.140625" style="2" customWidth="1"/>
    <col min="12032" max="12032" width="14.42578125" style="2" customWidth="1"/>
    <col min="12033" max="12033" width="12.85546875" style="2" customWidth="1"/>
    <col min="12034" max="12039" width="12.28515625" style="2" bestFit="1" customWidth="1"/>
    <col min="12040" max="12047" width="13.85546875" style="2" bestFit="1" customWidth="1"/>
    <col min="12048" max="12048" width="16.28515625" style="2" customWidth="1"/>
    <col min="12049" max="12050" width="11.42578125" style="2"/>
    <col min="12051" max="12051" width="11.7109375" style="2" bestFit="1" customWidth="1"/>
    <col min="12052" max="12052" width="12.28515625" style="2" customWidth="1"/>
    <col min="12053" max="12283" width="11.42578125" style="2"/>
    <col min="12284" max="12284" width="32.42578125" style="2" customWidth="1"/>
    <col min="12285" max="12285" width="13.28515625" style="2" customWidth="1"/>
    <col min="12286" max="12286" width="11.85546875" style="2" customWidth="1"/>
    <col min="12287" max="12287" width="13.140625" style="2" customWidth="1"/>
    <col min="12288" max="12288" width="14.42578125" style="2" customWidth="1"/>
    <col min="12289" max="12289" width="12.85546875" style="2" customWidth="1"/>
    <col min="12290" max="12295" width="12.28515625" style="2" bestFit="1" customWidth="1"/>
    <col min="12296" max="12303" width="13.85546875" style="2" bestFit="1" customWidth="1"/>
    <col min="12304" max="12304" width="16.28515625" style="2" customWidth="1"/>
    <col min="12305" max="12306" width="11.42578125" style="2"/>
    <col min="12307" max="12307" width="11.7109375" style="2" bestFit="1" customWidth="1"/>
    <col min="12308" max="12308" width="12.28515625" style="2" customWidth="1"/>
    <col min="12309" max="12539" width="11.42578125" style="2"/>
    <col min="12540" max="12540" width="32.42578125" style="2" customWidth="1"/>
    <col min="12541" max="12541" width="13.28515625" style="2" customWidth="1"/>
    <col min="12542" max="12542" width="11.85546875" style="2" customWidth="1"/>
    <col min="12543" max="12543" width="13.140625" style="2" customWidth="1"/>
    <col min="12544" max="12544" width="14.42578125" style="2" customWidth="1"/>
    <col min="12545" max="12545" width="12.85546875" style="2" customWidth="1"/>
    <col min="12546" max="12551" width="12.28515625" style="2" bestFit="1" customWidth="1"/>
    <col min="12552" max="12559" width="13.85546875" style="2" bestFit="1" customWidth="1"/>
    <col min="12560" max="12560" width="16.28515625" style="2" customWidth="1"/>
    <col min="12561" max="12562" width="11.42578125" style="2"/>
    <col min="12563" max="12563" width="11.7109375" style="2" bestFit="1" customWidth="1"/>
    <col min="12564" max="12564" width="12.28515625" style="2" customWidth="1"/>
    <col min="12565" max="12795" width="11.42578125" style="2"/>
    <col min="12796" max="12796" width="32.42578125" style="2" customWidth="1"/>
    <col min="12797" max="12797" width="13.28515625" style="2" customWidth="1"/>
    <col min="12798" max="12798" width="11.85546875" style="2" customWidth="1"/>
    <col min="12799" max="12799" width="13.140625" style="2" customWidth="1"/>
    <col min="12800" max="12800" width="14.42578125" style="2" customWidth="1"/>
    <col min="12801" max="12801" width="12.85546875" style="2" customWidth="1"/>
    <col min="12802" max="12807" width="12.28515625" style="2" bestFit="1" customWidth="1"/>
    <col min="12808" max="12815" width="13.85546875" style="2" bestFit="1" customWidth="1"/>
    <col min="12816" max="12816" width="16.28515625" style="2" customWidth="1"/>
    <col min="12817" max="12818" width="11.42578125" style="2"/>
    <col min="12819" max="12819" width="11.7109375" style="2" bestFit="1" customWidth="1"/>
    <col min="12820" max="12820" width="12.28515625" style="2" customWidth="1"/>
    <col min="12821" max="13051" width="11.42578125" style="2"/>
    <col min="13052" max="13052" width="32.42578125" style="2" customWidth="1"/>
    <col min="13053" max="13053" width="13.28515625" style="2" customWidth="1"/>
    <col min="13054" max="13054" width="11.85546875" style="2" customWidth="1"/>
    <col min="13055" max="13055" width="13.140625" style="2" customWidth="1"/>
    <col min="13056" max="13056" width="14.42578125" style="2" customWidth="1"/>
    <col min="13057" max="13057" width="12.85546875" style="2" customWidth="1"/>
    <col min="13058" max="13063" width="12.28515625" style="2" bestFit="1" customWidth="1"/>
    <col min="13064" max="13071" width="13.85546875" style="2" bestFit="1" customWidth="1"/>
    <col min="13072" max="13072" width="16.28515625" style="2" customWidth="1"/>
    <col min="13073" max="13074" width="11.42578125" style="2"/>
    <col min="13075" max="13075" width="11.7109375" style="2" bestFit="1" customWidth="1"/>
    <col min="13076" max="13076" width="12.28515625" style="2" customWidth="1"/>
    <col min="13077" max="13307" width="11.42578125" style="2"/>
    <col min="13308" max="13308" width="32.42578125" style="2" customWidth="1"/>
    <col min="13309" max="13309" width="13.28515625" style="2" customWidth="1"/>
    <col min="13310" max="13310" width="11.85546875" style="2" customWidth="1"/>
    <col min="13311" max="13311" width="13.140625" style="2" customWidth="1"/>
    <col min="13312" max="13312" width="14.42578125" style="2" customWidth="1"/>
    <col min="13313" max="13313" width="12.85546875" style="2" customWidth="1"/>
    <col min="13314" max="13319" width="12.28515625" style="2" bestFit="1" customWidth="1"/>
    <col min="13320" max="13327" width="13.85546875" style="2" bestFit="1" customWidth="1"/>
    <col min="13328" max="13328" width="16.28515625" style="2" customWidth="1"/>
    <col min="13329" max="13330" width="11.42578125" style="2"/>
    <col min="13331" max="13331" width="11.7109375" style="2" bestFit="1" customWidth="1"/>
    <col min="13332" max="13332" width="12.28515625" style="2" customWidth="1"/>
    <col min="13333" max="13563" width="11.42578125" style="2"/>
    <col min="13564" max="13564" width="32.42578125" style="2" customWidth="1"/>
    <col min="13565" max="13565" width="13.28515625" style="2" customWidth="1"/>
    <col min="13566" max="13566" width="11.85546875" style="2" customWidth="1"/>
    <col min="13567" max="13567" width="13.140625" style="2" customWidth="1"/>
    <col min="13568" max="13568" width="14.42578125" style="2" customWidth="1"/>
    <col min="13569" max="13569" width="12.85546875" style="2" customWidth="1"/>
    <col min="13570" max="13575" width="12.28515625" style="2" bestFit="1" customWidth="1"/>
    <col min="13576" max="13583" width="13.85546875" style="2" bestFit="1" customWidth="1"/>
    <col min="13584" max="13584" width="16.28515625" style="2" customWidth="1"/>
    <col min="13585" max="13586" width="11.42578125" style="2"/>
    <col min="13587" max="13587" width="11.7109375" style="2" bestFit="1" customWidth="1"/>
    <col min="13588" max="13588" width="12.28515625" style="2" customWidth="1"/>
    <col min="13589" max="13819" width="11.42578125" style="2"/>
    <col min="13820" max="13820" width="32.42578125" style="2" customWidth="1"/>
    <col min="13821" max="13821" width="13.28515625" style="2" customWidth="1"/>
    <col min="13822" max="13822" width="11.85546875" style="2" customWidth="1"/>
    <col min="13823" max="13823" width="13.140625" style="2" customWidth="1"/>
    <col min="13824" max="13824" width="14.42578125" style="2" customWidth="1"/>
    <col min="13825" max="13825" width="12.85546875" style="2" customWidth="1"/>
    <col min="13826" max="13831" width="12.28515625" style="2" bestFit="1" customWidth="1"/>
    <col min="13832" max="13839" width="13.85546875" style="2" bestFit="1" customWidth="1"/>
    <col min="13840" max="13840" width="16.28515625" style="2" customWidth="1"/>
    <col min="13841" max="13842" width="11.42578125" style="2"/>
    <col min="13843" max="13843" width="11.7109375" style="2" bestFit="1" customWidth="1"/>
    <col min="13844" max="13844" width="12.28515625" style="2" customWidth="1"/>
    <col min="13845" max="14075" width="11.42578125" style="2"/>
    <col min="14076" max="14076" width="32.42578125" style="2" customWidth="1"/>
    <col min="14077" max="14077" width="13.28515625" style="2" customWidth="1"/>
    <col min="14078" max="14078" width="11.85546875" style="2" customWidth="1"/>
    <col min="14079" max="14079" width="13.140625" style="2" customWidth="1"/>
    <col min="14080" max="14080" width="14.42578125" style="2" customWidth="1"/>
    <col min="14081" max="14081" width="12.85546875" style="2" customWidth="1"/>
    <col min="14082" max="14087" width="12.28515625" style="2" bestFit="1" customWidth="1"/>
    <col min="14088" max="14095" width="13.85546875" style="2" bestFit="1" customWidth="1"/>
    <col min="14096" max="14096" width="16.28515625" style="2" customWidth="1"/>
    <col min="14097" max="14098" width="11.42578125" style="2"/>
    <col min="14099" max="14099" width="11.7109375" style="2" bestFit="1" customWidth="1"/>
    <col min="14100" max="14100" width="12.28515625" style="2" customWidth="1"/>
    <col min="14101" max="14331" width="11.42578125" style="2"/>
    <col min="14332" max="14332" width="32.42578125" style="2" customWidth="1"/>
    <col min="14333" max="14333" width="13.28515625" style="2" customWidth="1"/>
    <col min="14334" max="14334" width="11.85546875" style="2" customWidth="1"/>
    <col min="14335" max="14335" width="13.140625" style="2" customWidth="1"/>
    <col min="14336" max="14336" width="14.42578125" style="2" customWidth="1"/>
    <col min="14337" max="14337" width="12.85546875" style="2" customWidth="1"/>
    <col min="14338" max="14343" width="12.28515625" style="2" bestFit="1" customWidth="1"/>
    <col min="14344" max="14351" width="13.85546875" style="2" bestFit="1" customWidth="1"/>
    <col min="14352" max="14352" width="16.28515625" style="2" customWidth="1"/>
    <col min="14353" max="14354" width="11.42578125" style="2"/>
    <col min="14355" max="14355" width="11.7109375" style="2" bestFit="1" customWidth="1"/>
    <col min="14356" max="14356" width="12.28515625" style="2" customWidth="1"/>
    <col min="14357" max="14587" width="11.42578125" style="2"/>
    <col min="14588" max="14588" width="32.42578125" style="2" customWidth="1"/>
    <col min="14589" max="14589" width="13.28515625" style="2" customWidth="1"/>
    <col min="14590" max="14590" width="11.85546875" style="2" customWidth="1"/>
    <col min="14591" max="14591" width="13.140625" style="2" customWidth="1"/>
    <col min="14592" max="14592" width="14.42578125" style="2" customWidth="1"/>
    <col min="14593" max="14593" width="12.85546875" style="2" customWidth="1"/>
    <col min="14594" max="14599" width="12.28515625" style="2" bestFit="1" customWidth="1"/>
    <col min="14600" max="14607" width="13.85546875" style="2" bestFit="1" customWidth="1"/>
    <col min="14608" max="14608" width="16.28515625" style="2" customWidth="1"/>
    <col min="14609" max="14610" width="11.42578125" style="2"/>
    <col min="14611" max="14611" width="11.7109375" style="2" bestFit="1" customWidth="1"/>
    <col min="14612" max="14612" width="12.28515625" style="2" customWidth="1"/>
    <col min="14613" max="14843" width="11.42578125" style="2"/>
    <col min="14844" max="14844" width="32.42578125" style="2" customWidth="1"/>
    <col min="14845" max="14845" width="13.28515625" style="2" customWidth="1"/>
    <col min="14846" max="14846" width="11.85546875" style="2" customWidth="1"/>
    <col min="14847" max="14847" width="13.140625" style="2" customWidth="1"/>
    <col min="14848" max="14848" width="14.42578125" style="2" customWidth="1"/>
    <col min="14849" max="14849" width="12.85546875" style="2" customWidth="1"/>
    <col min="14850" max="14855" width="12.28515625" style="2" bestFit="1" customWidth="1"/>
    <col min="14856" max="14863" width="13.85546875" style="2" bestFit="1" customWidth="1"/>
    <col min="14864" max="14864" width="16.28515625" style="2" customWidth="1"/>
    <col min="14865" max="14866" width="11.42578125" style="2"/>
    <col min="14867" max="14867" width="11.7109375" style="2" bestFit="1" customWidth="1"/>
    <col min="14868" max="14868" width="12.28515625" style="2" customWidth="1"/>
    <col min="14869" max="15099" width="11.42578125" style="2"/>
    <col min="15100" max="15100" width="32.42578125" style="2" customWidth="1"/>
    <col min="15101" max="15101" width="13.28515625" style="2" customWidth="1"/>
    <col min="15102" max="15102" width="11.85546875" style="2" customWidth="1"/>
    <col min="15103" max="15103" width="13.140625" style="2" customWidth="1"/>
    <col min="15104" max="15104" width="14.42578125" style="2" customWidth="1"/>
    <col min="15105" max="15105" width="12.85546875" style="2" customWidth="1"/>
    <col min="15106" max="15111" width="12.28515625" style="2" bestFit="1" customWidth="1"/>
    <col min="15112" max="15119" width="13.85546875" style="2" bestFit="1" customWidth="1"/>
    <col min="15120" max="15120" width="16.28515625" style="2" customWidth="1"/>
    <col min="15121" max="15122" width="11.42578125" style="2"/>
    <col min="15123" max="15123" width="11.7109375" style="2" bestFit="1" customWidth="1"/>
    <col min="15124" max="15124" width="12.28515625" style="2" customWidth="1"/>
    <col min="15125" max="15355" width="11.42578125" style="2"/>
    <col min="15356" max="15356" width="32.42578125" style="2" customWidth="1"/>
    <col min="15357" max="15357" width="13.28515625" style="2" customWidth="1"/>
    <col min="15358" max="15358" width="11.85546875" style="2" customWidth="1"/>
    <col min="15359" max="15359" width="13.140625" style="2" customWidth="1"/>
    <col min="15360" max="15360" width="14.42578125" style="2" customWidth="1"/>
    <col min="15361" max="15361" width="12.85546875" style="2" customWidth="1"/>
    <col min="15362" max="15367" width="12.28515625" style="2" bestFit="1" customWidth="1"/>
    <col min="15368" max="15375" width="13.85546875" style="2" bestFit="1" customWidth="1"/>
    <col min="15376" max="15376" width="16.28515625" style="2" customWidth="1"/>
    <col min="15377" max="15378" width="11.42578125" style="2"/>
    <col min="15379" max="15379" width="11.7109375" style="2" bestFit="1" customWidth="1"/>
    <col min="15380" max="15380" width="12.28515625" style="2" customWidth="1"/>
    <col min="15381" max="15611" width="11.42578125" style="2"/>
    <col min="15612" max="15612" width="32.42578125" style="2" customWidth="1"/>
    <col min="15613" max="15613" width="13.28515625" style="2" customWidth="1"/>
    <col min="15614" max="15614" width="11.85546875" style="2" customWidth="1"/>
    <col min="15615" max="15615" width="13.140625" style="2" customWidth="1"/>
    <col min="15616" max="15616" width="14.42578125" style="2" customWidth="1"/>
    <col min="15617" max="15617" width="12.85546875" style="2" customWidth="1"/>
    <col min="15618" max="15623" width="12.28515625" style="2" bestFit="1" customWidth="1"/>
    <col min="15624" max="15631" width="13.85546875" style="2" bestFit="1" customWidth="1"/>
    <col min="15632" max="15632" width="16.28515625" style="2" customWidth="1"/>
    <col min="15633" max="15634" width="11.42578125" style="2"/>
    <col min="15635" max="15635" width="11.7109375" style="2" bestFit="1" customWidth="1"/>
    <col min="15636" max="15636" width="12.28515625" style="2" customWidth="1"/>
    <col min="15637" max="15867" width="11.42578125" style="2"/>
    <col min="15868" max="15868" width="32.42578125" style="2" customWidth="1"/>
    <col min="15869" max="15869" width="13.28515625" style="2" customWidth="1"/>
    <col min="15870" max="15870" width="11.85546875" style="2" customWidth="1"/>
    <col min="15871" max="15871" width="13.140625" style="2" customWidth="1"/>
    <col min="15872" max="15872" width="14.42578125" style="2" customWidth="1"/>
    <col min="15873" max="15873" width="12.85546875" style="2" customWidth="1"/>
    <col min="15874" max="15879" width="12.28515625" style="2" bestFit="1" customWidth="1"/>
    <col min="15880" max="15887" width="13.85546875" style="2" bestFit="1" customWidth="1"/>
    <col min="15888" max="15888" width="16.28515625" style="2" customWidth="1"/>
    <col min="15889" max="15890" width="11.42578125" style="2"/>
    <col min="15891" max="15891" width="11.7109375" style="2" bestFit="1" customWidth="1"/>
    <col min="15892" max="15892" width="12.28515625" style="2" customWidth="1"/>
    <col min="15893" max="16123" width="11.42578125" style="2"/>
    <col min="16124" max="16124" width="32.42578125" style="2" customWidth="1"/>
    <col min="16125" max="16125" width="13.28515625" style="2" customWidth="1"/>
    <col min="16126" max="16126" width="11.85546875" style="2" customWidth="1"/>
    <col min="16127" max="16127" width="13.140625" style="2" customWidth="1"/>
    <col min="16128" max="16128" width="14.42578125" style="2" customWidth="1"/>
    <col min="16129" max="16129" width="12.85546875" style="2" customWidth="1"/>
    <col min="16130" max="16135" width="12.28515625" style="2" bestFit="1" customWidth="1"/>
    <col min="16136" max="16143" width="13.85546875" style="2" bestFit="1" customWidth="1"/>
    <col min="16144" max="16144" width="16.28515625" style="2" customWidth="1"/>
    <col min="16145" max="16146" width="11.42578125" style="2"/>
    <col min="16147" max="16147" width="11.7109375" style="2" bestFit="1" customWidth="1"/>
    <col min="16148" max="16148" width="12.28515625" style="2" customWidth="1"/>
    <col min="16149" max="16384" width="11.42578125" style="2"/>
  </cols>
  <sheetData>
    <row r="2" spans="1:17" x14ac:dyDescent="0.25">
      <c r="A2" s="67" t="s">
        <v>28</v>
      </c>
    </row>
    <row r="3" spans="1:17" ht="16.5" thickBot="1" x14ac:dyDescent="0.3"/>
    <row r="4" spans="1:17" s="71" customFormat="1" ht="16.5" thickBot="1" x14ac:dyDescent="0.3">
      <c r="A4" s="39" t="s">
        <v>22</v>
      </c>
      <c r="B4" s="75" t="s">
        <v>5</v>
      </c>
      <c r="C4" s="68" t="s">
        <v>29</v>
      </c>
      <c r="D4" s="69" t="s">
        <v>30</v>
      </c>
      <c r="E4" s="68" t="s">
        <v>31</v>
      </c>
      <c r="F4" s="69" t="s">
        <v>32</v>
      </c>
      <c r="G4" s="68" t="s">
        <v>33</v>
      </c>
      <c r="H4" s="69" t="s">
        <v>34</v>
      </c>
      <c r="I4" s="68" t="s">
        <v>35</v>
      </c>
      <c r="J4" s="69" t="s">
        <v>36</v>
      </c>
      <c r="K4" s="68" t="s">
        <v>37</v>
      </c>
      <c r="L4" s="69" t="s">
        <v>38</v>
      </c>
      <c r="M4" s="68" t="s">
        <v>39</v>
      </c>
      <c r="N4" s="68" t="s">
        <v>40</v>
      </c>
      <c r="O4" s="68" t="s">
        <v>41</v>
      </c>
      <c r="P4" s="70" t="s">
        <v>5</v>
      </c>
    </row>
    <row r="5" spans="1:17" s="73" customFormat="1" x14ac:dyDescent="0.25">
      <c r="A5" s="48" t="s">
        <v>124</v>
      </c>
      <c r="B5" s="76">
        <f>+'DETALLE RUBROS CONSTRUCTIVOS'!J6</f>
        <v>402</v>
      </c>
      <c r="C5" s="50">
        <f>+'DETALLE RUBROS CONSTRUCTIVOS'!I8</f>
        <v>132</v>
      </c>
      <c r="D5" s="52"/>
      <c r="E5" s="50">
        <f>+'DETALLE RUBROS CONSTRUCTIVOS'!I7</f>
        <v>250</v>
      </c>
      <c r="F5" s="52"/>
      <c r="G5" s="50"/>
      <c r="H5" s="52"/>
      <c r="I5" s="50"/>
      <c r="J5" s="52"/>
      <c r="K5" s="50">
        <f>+'DETALLE RUBROS CONSTRUCTIVOS'!I9</f>
        <v>20</v>
      </c>
      <c r="L5" s="52"/>
      <c r="M5" s="50"/>
      <c r="N5" s="50"/>
      <c r="O5" s="50"/>
      <c r="P5" s="54">
        <f t="shared" ref="P5:P18" si="0">SUM(C5:O5)</f>
        <v>402</v>
      </c>
      <c r="Q5" s="72">
        <f t="shared" ref="Q5:Q14" si="1">+P5-B5</f>
        <v>0</v>
      </c>
    </row>
    <row r="6" spans="1:17" s="73" customFormat="1" x14ac:dyDescent="0.25">
      <c r="A6" s="55" t="s">
        <v>125</v>
      </c>
      <c r="B6" s="34">
        <f>+'DETALLE RUBROS CONSTRUCTIVOS'!J10</f>
        <v>231.291</v>
      </c>
      <c r="C6" s="57">
        <f>+'DETALLE RUBROS CONSTRUCTIVOS'!I11</f>
        <v>18.450000000000003</v>
      </c>
      <c r="D6" s="58">
        <f>+'DETALLE RUBROS CONSTRUCTIVOS'!I12</f>
        <v>32.841000000000001</v>
      </c>
      <c r="E6" s="57"/>
      <c r="F6" s="58"/>
      <c r="G6" s="57"/>
      <c r="H6" s="58"/>
      <c r="I6" s="57"/>
      <c r="J6" s="58"/>
      <c r="K6" s="57">
        <f>+'DETALLE RUBROS CONSTRUCTIVOS'!I13</f>
        <v>180</v>
      </c>
      <c r="L6" s="58"/>
      <c r="M6" s="57"/>
      <c r="N6" s="57"/>
      <c r="O6" s="57"/>
      <c r="P6" s="60">
        <f t="shared" si="0"/>
        <v>231.291</v>
      </c>
      <c r="Q6" s="72">
        <f t="shared" si="1"/>
        <v>0</v>
      </c>
    </row>
    <row r="7" spans="1:17" s="73" customFormat="1" x14ac:dyDescent="0.25">
      <c r="A7" s="61" t="s">
        <v>126</v>
      </c>
      <c r="B7" s="76">
        <f>+'DETALLE RUBROS CONSTRUCTIVOS'!J14</f>
        <v>3581.2685000000006</v>
      </c>
      <c r="C7" s="50"/>
      <c r="D7" s="52"/>
      <c r="E7" s="50">
        <f>+'DETALLE RUBROS CONSTRUCTIVOS'!I15+'DETALLE RUBROS CONSTRUCTIVOS'!I16+'DETALLE RUBROS CONSTRUCTIVOS'!I17</f>
        <v>1042.1090000000002</v>
      </c>
      <c r="F7" s="52">
        <f>+'DETALLE RUBROS CONSTRUCTIVOS'!I18+'DETALLE RUBROS CONSTRUCTIVOS'!I19+'DETALLE RUBROS CONSTRUCTIVOS'!I20+'DETALLE RUBROS CONSTRUCTIVOS'!I21</f>
        <v>1671.4306000000001</v>
      </c>
      <c r="G7" s="50">
        <f>+'DETALLE RUBROS CONSTRUCTIVOS'!I22+'DETALLE RUBROS CONSTRUCTIVOS'!I23</f>
        <v>867.72890000000007</v>
      </c>
      <c r="H7" s="52"/>
      <c r="I7" s="50"/>
      <c r="J7" s="52"/>
      <c r="K7" s="50"/>
      <c r="L7" s="52"/>
      <c r="M7" s="50"/>
      <c r="N7" s="50"/>
      <c r="O7" s="50"/>
      <c r="P7" s="54">
        <f t="shared" si="0"/>
        <v>3581.2685000000001</v>
      </c>
      <c r="Q7" s="72">
        <f t="shared" si="1"/>
        <v>0</v>
      </c>
    </row>
    <row r="8" spans="1:17" s="73" customFormat="1" x14ac:dyDescent="0.25">
      <c r="A8" s="55" t="s">
        <v>127</v>
      </c>
      <c r="B8" s="34">
        <f>+'DETALLE RUBROS CONSTRUCTIVOS'!J24</f>
        <v>881.79960000000017</v>
      </c>
      <c r="C8" s="57"/>
      <c r="D8" s="58"/>
      <c r="E8" s="57">
        <f>+B8*0.5</f>
        <v>440.89980000000008</v>
      </c>
      <c r="F8" s="58">
        <f>+B8*0.5</f>
        <v>440.89980000000008</v>
      </c>
      <c r="G8" s="57"/>
      <c r="H8" s="58"/>
      <c r="I8" s="57"/>
      <c r="J8" s="58"/>
      <c r="K8" s="57"/>
      <c r="L8" s="58"/>
      <c r="M8" s="57"/>
      <c r="N8" s="57"/>
      <c r="O8" s="57"/>
      <c r="P8" s="60">
        <f t="shared" si="0"/>
        <v>881.79960000000017</v>
      </c>
      <c r="Q8" s="72">
        <f t="shared" si="1"/>
        <v>0</v>
      </c>
    </row>
    <row r="9" spans="1:17" s="73" customFormat="1" x14ac:dyDescent="0.25">
      <c r="A9" s="61" t="s">
        <v>128</v>
      </c>
      <c r="B9" s="77">
        <f>+'DETALLE RUBROS CONSTRUCTIVOS'!J30</f>
        <v>4503.1860999999999</v>
      </c>
      <c r="C9" s="50"/>
      <c r="D9" s="52"/>
      <c r="E9" s="50"/>
      <c r="F9" s="52">
        <f>+'DETALLE RUBROS CONSTRUCTIVOS'!I35+'DETALLE RUBROS CONSTRUCTIVOS'!I36+'DETALLE RUBROS CONSTRUCTIVOS'!I38</f>
        <v>1166.5981999999999</v>
      </c>
      <c r="G9" s="50"/>
      <c r="H9" s="52">
        <f>+'DETALLE RUBROS CONSTRUCTIVOS'!I31+'DETALLE RUBROS CONSTRUCTIVOS'!I32</f>
        <v>1633.8678999999997</v>
      </c>
      <c r="I9" s="50">
        <f>+'DETALLE RUBROS CONSTRUCTIVOS'!I37</f>
        <v>1702.72</v>
      </c>
      <c r="J9" s="52"/>
      <c r="K9" s="50"/>
      <c r="L9" s="52"/>
      <c r="M9" s="50"/>
      <c r="N9" s="50"/>
      <c r="O9" s="50"/>
      <c r="P9" s="54">
        <f t="shared" si="0"/>
        <v>4503.1860999999999</v>
      </c>
      <c r="Q9" s="72">
        <f t="shared" si="1"/>
        <v>0</v>
      </c>
    </row>
    <row r="10" spans="1:17" s="73" customFormat="1" x14ac:dyDescent="0.25">
      <c r="A10" s="55" t="s">
        <v>129</v>
      </c>
      <c r="B10" s="30">
        <f>+'DETALLE RUBROS CONSTRUCTIVOS'!J40</f>
        <v>4098.1188000000002</v>
      </c>
      <c r="C10" s="57"/>
      <c r="D10" s="58"/>
      <c r="E10" s="57"/>
      <c r="F10" s="58"/>
      <c r="G10" s="57"/>
      <c r="H10" s="58"/>
      <c r="I10" s="57"/>
      <c r="J10" s="58">
        <f>+'DETALLE RUBROS CONSTRUCTIVOS'!J40</f>
        <v>4098.1188000000002</v>
      </c>
      <c r="K10" s="57"/>
      <c r="L10" s="58"/>
      <c r="M10" s="57"/>
      <c r="N10" s="57"/>
      <c r="O10" s="57"/>
      <c r="P10" s="60">
        <f t="shared" si="0"/>
        <v>4098.1188000000002</v>
      </c>
      <c r="Q10" s="72">
        <f t="shared" si="1"/>
        <v>0</v>
      </c>
    </row>
    <row r="11" spans="1:17" s="73" customFormat="1" x14ac:dyDescent="0.25">
      <c r="A11" s="61" t="s">
        <v>130</v>
      </c>
      <c r="B11" s="77">
        <f>+'DETALLE RUBROS CONSTRUCTIVOS'!J48</f>
        <v>1068.96</v>
      </c>
      <c r="C11" s="50"/>
      <c r="D11" s="52"/>
      <c r="E11" s="50"/>
      <c r="F11" s="52"/>
      <c r="G11" s="50"/>
      <c r="H11" s="52"/>
      <c r="I11" s="50"/>
      <c r="J11" s="52"/>
      <c r="K11" s="50"/>
      <c r="L11" s="52">
        <f>+'DETALLE RUBROS CONSTRUCTIVOS'!J48</f>
        <v>1068.96</v>
      </c>
      <c r="M11" s="50"/>
      <c r="N11" s="50"/>
      <c r="O11" s="53"/>
      <c r="P11" s="54">
        <f t="shared" si="0"/>
        <v>1068.96</v>
      </c>
      <c r="Q11" s="72">
        <f t="shared" si="1"/>
        <v>0</v>
      </c>
    </row>
    <row r="12" spans="1:17" s="73" customFormat="1" x14ac:dyDescent="0.25">
      <c r="A12" s="55" t="s">
        <v>131</v>
      </c>
      <c r="B12" s="30">
        <f>+'DETALLE RUBROS CONSTRUCTIVOS'!J51</f>
        <v>2917.4369999999999</v>
      </c>
      <c r="C12" s="57"/>
      <c r="D12" s="58"/>
      <c r="E12" s="57"/>
      <c r="F12" s="58"/>
      <c r="G12" s="57"/>
      <c r="H12" s="58"/>
      <c r="I12" s="57"/>
      <c r="J12" s="58"/>
      <c r="K12" s="57"/>
      <c r="L12" s="58"/>
      <c r="M12" s="57">
        <f>+'DETALLE RUBROS CONSTRUCTIVOS'!J51/2</f>
        <v>1458.7184999999999</v>
      </c>
      <c r="N12" s="57">
        <f>+'DETALLE RUBROS CONSTRUCTIVOS'!J51/2</f>
        <v>1458.7184999999999</v>
      </c>
      <c r="O12" s="57"/>
      <c r="P12" s="60">
        <f t="shared" si="0"/>
        <v>2917.4369999999999</v>
      </c>
      <c r="Q12" s="72">
        <f t="shared" si="1"/>
        <v>0</v>
      </c>
    </row>
    <row r="13" spans="1:17" s="73" customFormat="1" x14ac:dyDescent="0.25">
      <c r="A13" s="61" t="s">
        <v>132</v>
      </c>
      <c r="B13" s="77">
        <f>+'DETALLE RUBROS CONSTRUCTIVOS'!J63</f>
        <v>1762.9178000000002</v>
      </c>
      <c r="C13" s="50"/>
      <c r="D13" s="52"/>
      <c r="E13" s="50"/>
      <c r="F13" s="52"/>
      <c r="G13" s="50"/>
      <c r="H13" s="52"/>
      <c r="I13" s="50"/>
      <c r="J13" s="52"/>
      <c r="K13" s="50">
        <f>+'DETALLE RUBROS CONSTRUCTIVOS'!J63</f>
        <v>1762.9178000000002</v>
      </c>
      <c r="L13" s="52"/>
      <c r="M13" s="50"/>
      <c r="N13" s="50"/>
      <c r="O13" s="50"/>
      <c r="P13" s="54">
        <f t="shared" si="0"/>
        <v>1762.9178000000002</v>
      </c>
      <c r="Q13" s="72">
        <f t="shared" si="1"/>
        <v>0</v>
      </c>
    </row>
    <row r="14" spans="1:17" s="73" customFormat="1" x14ac:dyDescent="0.25">
      <c r="A14" s="55" t="s">
        <v>133</v>
      </c>
      <c r="B14" s="30">
        <f>+'DETALLE RUBROS CONSTRUCTIVOS'!J66</f>
        <v>450</v>
      </c>
      <c r="C14" s="57"/>
      <c r="D14" s="58"/>
      <c r="E14" s="57"/>
      <c r="F14" s="58"/>
      <c r="G14" s="57"/>
      <c r="H14" s="58"/>
      <c r="I14" s="57"/>
      <c r="J14" s="58"/>
      <c r="K14" s="57">
        <f>+'DETALLE RUBROS CONSTRUCTIVOS'!J66</f>
        <v>450</v>
      </c>
      <c r="L14" s="58"/>
      <c r="M14" s="57"/>
      <c r="N14" s="57"/>
      <c r="O14" s="57"/>
      <c r="P14" s="60">
        <f t="shared" si="0"/>
        <v>450</v>
      </c>
      <c r="Q14" s="72">
        <f t="shared" si="1"/>
        <v>0</v>
      </c>
    </row>
    <row r="15" spans="1:17" s="73" customFormat="1" x14ac:dyDescent="0.25">
      <c r="A15" s="61" t="s">
        <v>134</v>
      </c>
      <c r="B15" s="77">
        <f>+'DETALLE RUBROS CONSTRUCTIVOS'!J68</f>
        <v>771.93</v>
      </c>
      <c r="C15" s="50"/>
      <c r="D15" s="52"/>
      <c r="E15" s="50"/>
      <c r="F15" s="52"/>
      <c r="G15" s="50"/>
      <c r="H15" s="52"/>
      <c r="I15" s="50"/>
      <c r="J15" s="52"/>
      <c r="K15" s="50">
        <f>+'DETALLE RUBROS CONSTRUCTIVOS'!J68</f>
        <v>771.93</v>
      </c>
      <c r="L15" s="52"/>
      <c r="M15" s="50"/>
      <c r="N15" s="50"/>
      <c r="O15" s="50"/>
      <c r="P15" s="54">
        <f t="shared" si="0"/>
        <v>771.93</v>
      </c>
      <c r="Q15" s="72"/>
    </row>
    <row r="16" spans="1:17" s="73" customFormat="1" x14ac:dyDescent="0.25">
      <c r="A16" s="55" t="s">
        <v>135</v>
      </c>
      <c r="B16" s="30">
        <f>+'DETALLE RUBROS CONSTRUCTIVOS'!J73</f>
        <v>428.44</v>
      </c>
      <c r="C16" s="57"/>
      <c r="D16" s="58"/>
      <c r="E16" s="57"/>
      <c r="F16" s="58"/>
      <c r="G16" s="57"/>
      <c r="H16" s="58"/>
      <c r="I16" s="57"/>
      <c r="J16" s="58"/>
      <c r="K16" s="57"/>
      <c r="L16" s="58"/>
      <c r="M16" s="57"/>
      <c r="N16" s="57"/>
      <c r="O16" s="57">
        <f>+'DETALLE RUBROS CONSTRUCTIVOS'!J73</f>
        <v>428.44</v>
      </c>
      <c r="P16" s="60">
        <f t="shared" si="0"/>
        <v>428.44</v>
      </c>
      <c r="Q16" s="72">
        <f>+P16-B16</f>
        <v>0</v>
      </c>
    </row>
    <row r="17" spans="1:17" s="73" customFormat="1" x14ac:dyDescent="0.25">
      <c r="A17" s="61" t="s">
        <v>136</v>
      </c>
      <c r="B17" s="77">
        <f>+'MANO DE OBRA'!D28</f>
        <v>8410.5</v>
      </c>
      <c r="C17" s="50"/>
      <c r="D17" s="52"/>
      <c r="E17" s="50">
        <f>+$B$17/7</f>
        <v>1201.5</v>
      </c>
      <c r="F17" s="52">
        <f t="shared" ref="F17:K17" si="2">+$B$17/7</f>
        <v>1201.5</v>
      </c>
      <c r="G17" s="50">
        <f t="shared" si="2"/>
        <v>1201.5</v>
      </c>
      <c r="H17" s="52">
        <f t="shared" si="2"/>
        <v>1201.5</v>
      </c>
      <c r="I17" s="50">
        <f t="shared" si="2"/>
        <v>1201.5</v>
      </c>
      <c r="J17" s="52">
        <f t="shared" si="2"/>
        <v>1201.5</v>
      </c>
      <c r="K17" s="50">
        <f t="shared" si="2"/>
        <v>1201.5</v>
      </c>
      <c r="L17" s="52"/>
      <c r="M17" s="50"/>
      <c r="N17" s="50"/>
      <c r="O17" s="50"/>
      <c r="P17" s="54">
        <f t="shared" si="0"/>
        <v>8410.5</v>
      </c>
      <c r="Q17" s="72">
        <f>+P17-B17</f>
        <v>0</v>
      </c>
    </row>
    <row r="18" spans="1:17" s="73" customFormat="1" x14ac:dyDescent="0.25">
      <c r="A18" s="55" t="s">
        <v>137</v>
      </c>
      <c r="B18" s="30">
        <f>+LOGISTICA!C30</f>
        <v>2697.1</v>
      </c>
      <c r="C18" s="57"/>
      <c r="D18" s="58"/>
      <c r="E18" s="57">
        <f>+$B$18/7</f>
        <v>385.3</v>
      </c>
      <c r="F18" s="58">
        <f t="shared" ref="F18:K18" si="3">+$B$18/7</f>
        <v>385.3</v>
      </c>
      <c r="G18" s="57">
        <f t="shared" si="3"/>
        <v>385.3</v>
      </c>
      <c r="H18" s="58">
        <f t="shared" si="3"/>
        <v>385.3</v>
      </c>
      <c r="I18" s="57">
        <f t="shared" si="3"/>
        <v>385.3</v>
      </c>
      <c r="J18" s="58">
        <f t="shared" si="3"/>
        <v>385.3</v>
      </c>
      <c r="K18" s="57">
        <f t="shared" si="3"/>
        <v>385.3</v>
      </c>
      <c r="L18" s="58"/>
      <c r="M18" s="57"/>
      <c r="N18" s="57"/>
      <c r="O18" s="57"/>
      <c r="P18" s="60">
        <f t="shared" si="0"/>
        <v>2697.1000000000004</v>
      </c>
      <c r="Q18" s="72">
        <f>+P18-B18</f>
        <v>0</v>
      </c>
    </row>
    <row r="19" spans="1:17" s="67" customFormat="1" ht="16.5" thickBot="1" x14ac:dyDescent="0.3">
      <c r="A19" s="62" t="s">
        <v>138</v>
      </c>
      <c r="B19" s="65">
        <f>SUM(B5:B18)</f>
        <v>32204.948799999998</v>
      </c>
      <c r="C19" s="64">
        <f t="shared" ref="C19:P19" si="4">SUM(C5:C17)</f>
        <v>150.44999999999999</v>
      </c>
      <c r="D19" s="65">
        <f t="shared" si="4"/>
        <v>32.841000000000001</v>
      </c>
      <c r="E19" s="64">
        <f t="shared" si="4"/>
        <v>2934.5088000000005</v>
      </c>
      <c r="F19" s="65">
        <f t="shared" si="4"/>
        <v>4480.4286000000002</v>
      </c>
      <c r="G19" s="64">
        <f t="shared" si="4"/>
        <v>2069.2289000000001</v>
      </c>
      <c r="H19" s="65">
        <f t="shared" si="4"/>
        <v>2835.3678999999997</v>
      </c>
      <c r="I19" s="64">
        <f t="shared" si="4"/>
        <v>2904.2200000000003</v>
      </c>
      <c r="J19" s="65">
        <f t="shared" si="4"/>
        <v>5299.6188000000002</v>
      </c>
      <c r="K19" s="64">
        <f t="shared" si="4"/>
        <v>4386.3477999999996</v>
      </c>
      <c r="L19" s="65">
        <f t="shared" si="4"/>
        <v>1068.96</v>
      </c>
      <c r="M19" s="64">
        <f t="shared" si="4"/>
        <v>1458.7184999999999</v>
      </c>
      <c r="N19" s="64">
        <f t="shared" si="4"/>
        <v>1458.7184999999999</v>
      </c>
      <c r="O19" s="64">
        <f t="shared" si="4"/>
        <v>428.44</v>
      </c>
      <c r="P19" s="66">
        <f t="shared" si="4"/>
        <v>29507.8488</v>
      </c>
      <c r="Q19" s="72"/>
    </row>
    <row r="20" spans="1:17" s="73" customFormat="1" ht="18" customHeight="1" x14ac:dyDescent="0.25">
      <c r="A20" s="2" t="s">
        <v>102</v>
      </c>
    </row>
    <row r="43" spans="1:4" x14ac:dyDescent="0.25">
      <c r="A43" s="78"/>
      <c r="B43" s="79"/>
      <c r="C43" s="80"/>
      <c r="D43" s="21"/>
    </row>
    <row r="44" spans="1:4" x14ac:dyDescent="0.25">
      <c r="A44" s="78"/>
      <c r="B44" s="79"/>
      <c r="C44" s="80"/>
      <c r="D44" s="21"/>
    </row>
    <row r="45" spans="1:4" x14ac:dyDescent="0.25">
      <c r="A45" s="78"/>
      <c r="B45" s="74"/>
      <c r="C45" s="80"/>
      <c r="D45" s="21"/>
    </row>
    <row r="46" spans="1:4" x14ac:dyDescent="0.25">
      <c r="A46" s="78"/>
      <c r="B46" s="79"/>
      <c r="C46" s="80"/>
      <c r="D46" s="21"/>
    </row>
    <row r="47" spans="1:4" x14ac:dyDescent="0.25">
      <c r="A47" s="78"/>
      <c r="B47" s="79"/>
      <c r="C47" s="80"/>
      <c r="D47" s="21"/>
    </row>
    <row r="48" spans="1:4" x14ac:dyDescent="0.25">
      <c r="A48" s="78"/>
      <c r="B48" s="79"/>
      <c r="C48" s="80"/>
      <c r="D48" s="21"/>
    </row>
    <row r="49" spans="1:4" x14ac:dyDescent="0.25">
      <c r="A49" s="78"/>
      <c r="B49" s="79"/>
      <c r="C49" s="81"/>
      <c r="D49" s="21"/>
    </row>
    <row r="50" spans="1:4" x14ac:dyDescent="0.25">
      <c r="A50" s="78"/>
      <c r="B50" s="79"/>
      <c r="C50" s="80"/>
      <c r="D50" s="21"/>
    </row>
    <row r="51" spans="1:4" x14ac:dyDescent="0.25">
      <c r="A51" s="78"/>
      <c r="B51" s="79"/>
      <c r="C51" s="80"/>
      <c r="D51" s="21"/>
    </row>
    <row r="52" spans="1:4" x14ac:dyDescent="0.25">
      <c r="A52" s="78"/>
      <c r="B52" s="79"/>
      <c r="C52" s="80"/>
      <c r="D52" s="21"/>
    </row>
    <row r="53" spans="1:4" x14ac:dyDescent="0.25">
      <c r="A53" s="78"/>
      <c r="B53" s="79"/>
      <c r="C53" s="80"/>
      <c r="D53" s="21"/>
    </row>
    <row r="54" spans="1:4" x14ac:dyDescent="0.25">
      <c r="A54" s="78"/>
      <c r="B54" s="79"/>
      <c r="C54" s="80"/>
      <c r="D54" s="21"/>
    </row>
    <row r="55" spans="1:4" x14ac:dyDescent="0.25">
      <c r="A55" s="78"/>
      <c r="B55" s="79"/>
      <c r="C55" s="80"/>
      <c r="D55" s="21"/>
    </row>
    <row r="56" spans="1:4" x14ac:dyDescent="0.25">
      <c r="A56" s="78"/>
      <c r="B56" s="82"/>
      <c r="C56" s="80"/>
      <c r="D56" s="21"/>
    </row>
    <row r="57" spans="1:4" x14ac:dyDescent="0.25">
      <c r="A57" s="78"/>
      <c r="B57" s="79"/>
      <c r="C57" s="80"/>
      <c r="D57" s="21"/>
    </row>
    <row r="58" spans="1:4" x14ac:dyDescent="0.25">
      <c r="A58" s="78"/>
      <c r="B58" s="79"/>
      <c r="C58" s="80"/>
      <c r="D58" s="21"/>
    </row>
    <row r="59" spans="1:4" x14ac:dyDescent="0.25">
      <c r="A59" s="83"/>
      <c r="B59" s="74"/>
      <c r="C59" s="84"/>
      <c r="D59" s="21"/>
    </row>
    <row r="60" spans="1:4" x14ac:dyDescent="0.25">
      <c r="A60" s="78"/>
      <c r="B60" s="79"/>
      <c r="C60" s="80"/>
      <c r="D60" s="21"/>
    </row>
    <row r="61" spans="1:4" x14ac:dyDescent="0.25">
      <c r="A61" s="78"/>
      <c r="B61" s="79"/>
      <c r="C61" s="80"/>
      <c r="D61" s="21"/>
    </row>
    <row r="62" spans="1:4" x14ac:dyDescent="0.25">
      <c r="A62" s="85"/>
      <c r="B62" s="82"/>
      <c r="C62" s="80"/>
      <c r="D62" s="21"/>
    </row>
    <row r="63" spans="1:4" x14ac:dyDescent="0.25">
      <c r="A63" s="83"/>
      <c r="B63" s="74"/>
      <c r="C63" s="80"/>
      <c r="D63" s="21"/>
    </row>
    <row r="64" spans="1:4" x14ac:dyDescent="0.25">
      <c r="A64" s="85"/>
      <c r="B64" s="74"/>
      <c r="C64" s="81"/>
      <c r="D64" s="21"/>
    </row>
    <row r="65" spans="1:4" x14ac:dyDescent="0.25">
      <c r="A65" s="85"/>
      <c r="B65" s="85"/>
      <c r="C65" s="81"/>
      <c r="D65" s="21"/>
    </row>
    <row r="66" spans="1:4" x14ac:dyDescent="0.25">
      <c r="A66" s="85"/>
      <c r="B66" s="79"/>
      <c r="C66" s="79"/>
      <c r="D66" s="21"/>
    </row>
    <row r="67" spans="1:4" x14ac:dyDescent="0.25">
      <c r="A67" s="85"/>
      <c r="B67" s="85"/>
      <c r="C67" s="81"/>
    </row>
    <row r="68" spans="1:4" x14ac:dyDescent="0.25">
      <c r="A68" s="85"/>
      <c r="B68" s="80"/>
      <c r="C68" s="8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81"/>
  <sheetViews>
    <sheetView topLeftCell="A22" workbookViewId="0">
      <selection activeCell="A34" sqref="A34"/>
    </sheetView>
  </sheetViews>
  <sheetFormatPr baseColWidth="10" defaultRowHeight="15.75" x14ac:dyDescent="0.25"/>
  <cols>
    <col min="1" max="1" width="26" style="2" customWidth="1"/>
    <col min="2" max="2" width="19.42578125" style="2" hidden="1" customWidth="1"/>
    <col min="3" max="7" width="13" style="2" customWidth="1"/>
    <col min="8" max="8" width="13.42578125" style="2" hidden="1" customWidth="1"/>
    <col min="9" max="9" width="13.7109375" style="2" bestFit="1" customWidth="1"/>
    <col min="10" max="10" width="12.28515625" style="2" customWidth="1"/>
    <col min="11" max="12" width="13" style="2" customWidth="1"/>
    <col min="13" max="13" width="13.42578125" style="2" customWidth="1"/>
    <col min="14" max="241" width="11.42578125" style="2"/>
    <col min="242" max="242" width="32.42578125" style="2" customWidth="1"/>
    <col min="243" max="243" width="13.28515625" style="2" customWidth="1"/>
    <col min="244" max="244" width="11.85546875" style="2" customWidth="1"/>
    <col min="245" max="245" width="13.140625" style="2" customWidth="1"/>
    <col min="246" max="246" width="14.42578125" style="2" customWidth="1"/>
    <col min="247" max="247" width="12.85546875" style="2" customWidth="1"/>
    <col min="248" max="253" width="12.28515625" style="2" bestFit="1" customWidth="1"/>
    <col min="254" max="261" width="13.85546875" style="2" bestFit="1" customWidth="1"/>
    <col min="262" max="262" width="16.28515625" style="2" customWidth="1"/>
    <col min="263" max="264" width="11.42578125" style="2"/>
    <col min="265" max="265" width="11.7109375" style="2" bestFit="1" customWidth="1"/>
    <col min="266" max="266" width="12.28515625" style="2" customWidth="1"/>
    <col min="267" max="497" width="11.42578125" style="2"/>
    <col min="498" max="498" width="32.42578125" style="2" customWidth="1"/>
    <col min="499" max="499" width="13.28515625" style="2" customWidth="1"/>
    <col min="500" max="500" width="11.85546875" style="2" customWidth="1"/>
    <col min="501" max="501" width="13.140625" style="2" customWidth="1"/>
    <col min="502" max="502" width="14.42578125" style="2" customWidth="1"/>
    <col min="503" max="503" width="12.85546875" style="2" customWidth="1"/>
    <col min="504" max="509" width="12.28515625" style="2" bestFit="1" customWidth="1"/>
    <col min="510" max="517" width="13.85546875" style="2" bestFit="1" customWidth="1"/>
    <col min="518" max="518" width="16.28515625" style="2" customWidth="1"/>
    <col min="519" max="520" width="11.42578125" style="2"/>
    <col min="521" max="521" width="11.7109375" style="2" bestFit="1" customWidth="1"/>
    <col min="522" max="522" width="12.28515625" style="2" customWidth="1"/>
    <col min="523" max="753" width="11.42578125" style="2"/>
    <col min="754" max="754" width="32.42578125" style="2" customWidth="1"/>
    <col min="755" max="755" width="13.28515625" style="2" customWidth="1"/>
    <col min="756" max="756" width="11.85546875" style="2" customWidth="1"/>
    <col min="757" max="757" width="13.140625" style="2" customWidth="1"/>
    <col min="758" max="758" width="14.42578125" style="2" customWidth="1"/>
    <col min="759" max="759" width="12.85546875" style="2" customWidth="1"/>
    <col min="760" max="765" width="12.28515625" style="2" bestFit="1" customWidth="1"/>
    <col min="766" max="773" width="13.85546875" style="2" bestFit="1" customWidth="1"/>
    <col min="774" max="774" width="16.28515625" style="2" customWidth="1"/>
    <col min="775" max="776" width="11.42578125" style="2"/>
    <col min="777" max="777" width="11.7109375" style="2" bestFit="1" customWidth="1"/>
    <col min="778" max="778" width="12.28515625" style="2" customWidth="1"/>
    <col min="779" max="1009" width="11.42578125" style="2"/>
    <col min="1010" max="1010" width="32.42578125" style="2" customWidth="1"/>
    <col min="1011" max="1011" width="13.28515625" style="2" customWidth="1"/>
    <col min="1012" max="1012" width="11.85546875" style="2" customWidth="1"/>
    <col min="1013" max="1013" width="13.140625" style="2" customWidth="1"/>
    <col min="1014" max="1014" width="14.42578125" style="2" customWidth="1"/>
    <col min="1015" max="1015" width="12.85546875" style="2" customWidth="1"/>
    <col min="1016" max="1021" width="12.28515625" style="2" bestFit="1" customWidth="1"/>
    <col min="1022" max="1029" width="13.85546875" style="2" bestFit="1" customWidth="1"/>
    <col min="1030" max="1030" width="16.28515625" style="2" customWidth="1"/>
    <col min="1031" max="1032" width="11.42578125" style="2"/>
    <col min="1033" max="1033" width="11.7109375" style="2" bestFit="1" customWidth="1"/>
    <col min="1034" max="1034" width="12.28515625" style="2" customWidth="1"/>
    <col min="1035" max="1265" width="11.42578125" style="2"/>
    <col min="1266" max="1266" width="32.42578125" style="2" customWidth="1"/>
    <col min="1267" max="1267" width="13.28515625" style="2" customWidth="1"/>
    <col min="1268" max="1268" width="11.85546875" style="2" customWidth="1"/>
    <col min="1269" max="1269" width="13.140625" style="2" customWidth="1"/>
    <col min="1270" max="1270" width="14.42578125" style="2" customWidth="1"/>
    <col min="1271" max="1271" width="12.85546875" style="2" customWidth="1"/>
    <col min="1272" max="1277" width="12.28515625" style="2" bestFit="1" customWidth="1"/>
    <col min="1278" max="1285" width="13.85546875" style="2" bestFit="1" customWidth="1"/>
    <col min="1286" max="1286" width="16.28515625" style="2" customWidth="1"/>
    <col min="1287" max="1288" width="11.42578125" style="2"/>
    <col min="1289" max="1289" width="11.7109375" style="2" bestFit="1" customWidth="1"/>
    <col min="1290" max="1290" width="12.28515625" style="2" customWidth="1"/>
    <col min="1291" max="1521" width="11.42578125" style="2"/>
    <col min="1522" max="1522" width="32.42578125" style="2" customWidth="1"/>
    <col min="1523" max="1523" width="13.28515625" style="2" customWidth="1"/>
    <col min="1524" max="1524" width="11.85546875" style="2" customWidth="1"/>
    <col min="1525" max="1525" width="13.140625" style="2" customWidth="1"/>
    <col min="1526" max="1526" width="14.42578125" style="2" customWidth="1"/>
    <col min="1527" max="1527" width="12.85546875" style="2" customWidth="1"/>
    <col min="1528" max="1533" width="12.28515625" style="2" bestFit="1" customWidth="1"/>
    <col min="1534" max="1541" width="13.85546875" style="2" bestFit="1" customWidth="1"/>
    <col min="1542" max="1542" width="16.28515625" style="2" customWidth="1"/>
    <col min="1543" max="1544" width="11.42578125" style="2"/>
    <col min="1545" max="1545" width="11.7109375" style="2" bestFit="1" customWidth="1"/>
    <col min="1546" max="1546" width="12.28515625" style="2" customWidth="1"/>
    <col min="1547" max="1777" width="11.42578125" style="2"/>
    <col min="1778" max="1778" width="32.42578125" style="2" customWidth="1"/>
    <col min="1779" max="1779" width="13.28515625" style="2" customWidth="1"/>
    <col min="1780" max="1780" width="11.85546875" style="2" customWidth="1"/>
    <col min="1781" max="1781" width="13.140625" style="2" customWidth="1"/>
    <col min="1782" max="1782" width="14.42578125" style="2" customWidth="1"/>
    <col min="1783" max="1783" width="12.85546875" style="2" customWidth="1"/>
    <col min="1784" max="1789" width="12.28515625" style="2" bestFit="1" customWidth="1"/>
    <col min="1790" max="1797" width="13.85546875" style="2" bestFit="1" customWidth="1"/>
    <col min="1798" max="1798" width="16.28515625" style="2" customWidth="1"/>
    <col min="1799" max="1800" width="11.42578125" style="2"/>
    <col min="1801" max="1801" width="11.7109375" style="2" bestFit="1" customWidth="1"/>
    <col min="1802" max="1802" width="12.28515625" style="2" customWidth="1"/>
    <col min="1803" max="2033" width="11.42578125" style="2"/>
    <col min="2034" max="2034" width="32.42578125" style="2" customWidth="1"/>
    <col min="2035" max="2035" width="13.28515625" style="2" customWidth="1"/>
    <col min="2036" max="2036" width="11.85546875" style="2" customWidth="1"/>
    <col min="2037" max="2037" width="13.140625" style="2" customWidth="1"/>
    <col min="2038" max="2038" width="14.42578125" style="2" customWidth="1"/>
    <col min="2039" max="2039" width="12.85546875" style="2" customWidth="1"/>
    <col min="2040" max="2045" width="12.28515625" style="2" bestFit="1" customWidth="1"/>
    <col min="2046" max="2053" width="13.85546875" style="2" bestFit="1" customWidth="1"/>
    <col min="2054" max="2054" width="16.28515625" style="2" customWidth="1"/>
    <col min="2055" max="2056" width="11.42578125" style="2"/>
    <col min="2057" max="2057" width="11.7109375" style="2" bestFit="1" customWidth="1"/>
    <col min="2058" max="2058" width="12.28515625" style="2" customWidth="1"/>
    <col min="2059" max="2289" width="11.42578125" style="2"/>
    <col min="2290" max="2290" width="32.42578125" style="2" customWidth="1"/>
    <col min="2291" max="2291" width="13.28515625" style="2" customWidth="1"/>
    <col min="2292" max="2292" width="11.85546875" style="2" customWidth="1"/>
    <col min="2293" max="2293" width="13.140625" style="2" customWidth="1"/>
    <col min="2294" max="2294" width="14.42578125" style="2" customWidth="1"/>
    <col min="2295" max="2295" width="12.85546875" style="2" customWidth="1"/>
    <col min="2296" max="2301" width="12.28515625" style="2" bestFit="1" customWidth="1"/>
    <col min="2302" max="2309" width="13.85546875" style="2" bestFit="1" customWidth="1"/>
    <col min="2310" max="2310" width="16.28515625" style="2" customWidth="1"/>
    <col min="2311" max="2312" width="11.42578125" style="2"/>
    <col min="2313" max="2313" width="11.7109375" style="2" bestFit="1" customWidth="1"/>
    <col min="2314" max="2314" width="12.28515625" style="2" customWidth="1"/>
    <col min="2315" max="2545" width="11.42578125" style="2"/>
    <col min="2546" max="2546" width="32.42578125" style="2" customWidth="1"/>
    <col min="2547" max="2547" width="13.28515625" style="2" customWidth="1"/>
    <col min="2548" max="2548" width="11.85546875" style="2" customWidth="1"/>
    <col min="2549" max="2549" width="13.140625" style="2" customWidth="1"/>
    <col min="2550" max="2550" width="14.42578125" style="2" customWidth="1"/>
    <col min="2551" max="2551" width="12.85546875" style="2" customWidth="1"/>
    <col min="2552" max="2557" width="12.28515625" style="2" bestFit="1" customWidth="1"/>
    <col min="2558" max="2565" width="13.85546875" style="2" bestFit="1" customWidth="1"/>
    <col min="2566" max="2566" width="16.28515625" style="2" customWidth="1"/>
    <col min="2567" max="2568" width="11.42578125" style="2"/>
    <col min="2569" max="2569" width="11.7109375" style="2" bestFit="1" customWidth="1"/>
    <col min="2570" max="2570" width="12.28515625" style="2" customWidth="1"/>
    <col min="2571" max="2801" width="11.42578125" style="2"/>
    <col min="2802" max="2802" width="32.42578125" style="2" customWidth="1"/>
    <col min="2803" max="2803" width="13.28515625" style="2" customWidth="1"/>
    <col min="2804" max="2804" width="11.85546875" style="2" customWidth="1"/>
    <col min="2805" max="2805" width="13.140625" style="2" customWidth="1"/>
    <col min="2806" max="2806" width="14.42578125" style="2" customWidth="1"/>
    <col min="2807" max="2807" width="12.85546875" style="2" customWidth="1"/>
    <col min="2808" max="2813" width="12.28515625" style="2" bestFit="1" customWidth="1"/>
    <col min="2814" max="2821" width="13.85546875" style="2" bestFit="1" customWidth="1"/>
    <col min="2822" max="2822" width="16.28515625" style="2" customWidth="1"/>
    <col min="2823" max="2824" width="11.42578125" style="2"/>
    <col min="2825" max="2825" width="11.7109375" style="2" bestFit="1" customWidth="1"/>
    <col min="2826" max="2826" width="12.28515625" style="2" customWidth="1"/>
    <col min="2827" max="3057" width="11.42578125" style="2"/>
    <col min="3058" max="3058" width="32.42578125" style="2" customWidth="1"/>
    <col min="3059" max="3059" width="13.28515625" style="2" customWidth="1"/>
    <col min="3060" max="3060" width="11.85546875" style="2" customWidth="1"/>
    <col min="3061" max="3061" width="13.140625" style="2" customWidth="1"/>
    <col min="3062" max="3062" width="14.42578125" style="2" customWidth="1"/>
    <col min="3063" max="3063" width="12.85546875" style="2" customWidth="1"/>
    <col min="3064" max="3069" width="12.28515625" style="2" bestFit="1" customWidth="1"/>
    <col min="3070" max="3077" width="13.85546875" style="2" bestFit="1" customWidth="1"/>
    <col min="3078" max="3078" width="16.28515625" style="2" customWidth="1"/>
    <col min="3079" max="3080" width="11.42578125" style="2"/>
    <col min="3081" max="3081" width="11.7109375" style="2" bestFit="1" customWidth="1"/>
    <col min="3082" max="3082" width="12.28515625" style="2" customWidth="1"/>
    <col min="3083" max="3313" width="11.42578125" style="2"/>
    <col min="3314" max="3314" width="32.42578125" style="2" customWidth="1"/>
    <col min="3315" max="3315" width="13.28515625" style="2" customWidth="1"/>
    <col min="3316" max="3316" width="11.85546875" style="2" customWidth="1"/>
    <col min="3317" max="3317" width="13.140625" style="2" customWidth="1"/>
    <col min="3318" max="3318" width="14.42578125" style="2" customWidth="1"/>
    <col min="3319" max="3319" width="12.85546875" style="2" customWidth="1"/>
    <col min="3320" max="3325" width="12.28515625" style="2" bestFit="1" customWidth="1"/>
    <col min="3326" max="3333" width="13.85546875" style="2" bestFit="1" customWidth="1"/>
    <col min="3334" max="3334" width="16.28515625" style="2" customWidth="1"/>
    <col min="3335" max="3336" width="11.42578125" style="2"/>
    <col min="3337" max="3337" width="11.7109375" style="2" bestFit="1" customWidth="1"/>
    <col min="3338" max="3338" width="12.28515625" style="2" customWidth="1"/>
    <col min="3339" max="3569" width="11.42578125" style="2"/>
    <col min="3570" max="3570" width="32.42578125" style="2" customWidth="1"/>
    <col min="3571" max="3571" width="13.28515625" style="2" customWidth="1"/>
    <col min="3572" max="3572" width="11.85546875" style="2" customWidth="1"/>
    <col min="3573" max="3573" width="13.140625" style="2" customWidth="1"/>
    <col min="3574" max="3574" width="14.42578125" style="2" customWidth="1"/>
    <col min="3575" max="3575" width="12.85546875" style="2" customWidth="1"/>
    <col min="3576" max="3581" width="12.28515625" style="2" bestFit="1" customWidth="1"/>
    <col min="3582" max="3589" width="13.85546875" style="2" bestFit="1" customWidth="1"/>
    <col min="3590" max="3590" width="16.28515625" style="2" customWidth="1"/>
    <col min="3591" max="3592" width="11.42578125" style="2"/>
    <col min="3593" max="3593" width="11.7109375" style="2" bestFit="1" customWidth="1"/>
    <col min="3594" max="3594" width="12.28515625" style="2" customWidth="1"/>
    <col min="3595" max="3825" width="11.42578125" style="2"/>
    <col min="3826" max="3826" width="32.42578125" style="2" customWidth="1"/>
    <col min="3827" max="3827" width="13.28515625" style="2" customWidth="1"/>
    <col min="3828" max="3828" width="11.85546875" style="2" customWidth="1"/>
    <col min="3829" max="3829" width="13.140625" style="2" customWidth="1"/>
    <col min="3830" max="3830" width="14.42578125" style="2" customWidth="1"/>
    <col min="3831" max="3831" width="12.85546875" style="2" customWidth="1"/>
    <col min="3832" max="3837" width="12.28515625" style="2" bestFit="1" customWidth="1"/>
    <col min="3838" max="3845" width="13.85546875" style="2" bestFit="1" customWidth="1"/>
    <col min="3846" max="3846" width="16.28515625" style="2" customWidth="1"/>
    <col min="3847" max="3848" width="11.42578125" style="2"/>
    <col min="3849" max="3849" width="11.7109375" style="2" bestFit="1" customWidth="1"/>
    <col min="3850" max="3850" width="12.28515625" style="2" customWidth="1"/>
    <col min="3851" max="4081" width="11.42578125" style="2"/>
    <col min="4082" max="4082" width="32.42578125" style="2" customWidth="1"/>
    <col min="4083" max="4083" width="13.28515625" style="2" customWidth="1"/>
    <col min="4084" max="4084" width="11.85546875" style="2" customWidth="1"/>
    <col min="4085" max="4085" width="13.140625" style="2" customWidth="1"/>
    <col min="4086" max="4086" width="14.42578125" style="2" customWidth="1"/>
    <col min="4087" max="4087" width="12.85546875" style="2" customWidth="1"/>
    <col min="4088" max="4093" width="12.28515625" style="2" bestFit="1" customWidth="1"/>
    <col min="4094" max="4101" width="13.85546875" style="2" bestFit="1" customWidth="1"/>
    <col min="4102" max="4102" width="16.28515625" style="2" customWidth="1"/>
    <col min="4103" max="4104" width="11.42578125" style="2"/>
    <col min="4105" max="4105" width="11.7109375" style="2" bestFit="1" customWidth="1"/>
    <col min="4106" max="4106" width="12.28515625" style="2" customWidth="1"/>
    <col min="4107" max="4337" width="11.42578125" style="2"/>
    <col min="4338" max="4338" width="32.42578125" style="2" customWidth="1"/>
    <col min="4339" max="4339" width="13.28515625" style="2" customWidth="1"/>
    <col min="4340" max="4340" width="11.85546875" style="2" customWidth="1"/>
    <col min="4341" max="4341" width="13.140625" style="2" customWidth="1"/>
    <col min="4342" max="4342" width="14.42578125" style="2" customWidth="1"/>
    <col min="4343" max="4343" width="12.85546875" style="2" customWidth="1"/>
    <col min="4344" max="4349" width="12.28515625" style="2" bestFit="1" customWidth="1"/>
    <col min="4350" max="4357" width="13.85546875" style="2" bestFit="1" customWidth="1"/>
    <col min="4358" max="4358" width="16.28515625" style="2" customWidth="1"/>
    <col min="4359" max="4360" width="11.42578125" style="2"/>
    <col min="4361" max="4361" width="11.7109375" style="2" bestFit="1" customWidth="1"/>
    <col min="4362" max="4362" width="12.28515625" style="2" customWidth="1"/>
    <col min="4363" max="4593" width="11.42578125" style="2"/>
    <col min="4594" max="4594" width="32.42578125" style="2" customWidth="1"/>
    <col min="4595" max="4595" width="13.28515625" style="2" customWidth="1"/>
    <col min="4596" max="4596" width="11.85546875" style="2" customWidth="1"/>
    <col min="4597" max="4597" width="13.140625" style="2" customWidth="1"/>
    <col min="4598" max="4598" width="14.42578125" style="2" customWidth="1"/>
    <col min="4599" max="4599" width="12.85546875" style="2" customWidth="1"/>
    <col min="4600" max="4605" width="12.28515625" style="2" bestFit="1" customWidth="1"/>
    <col min="4606" max="4613" width="13.85546875" style="2" bestFit="1" customWidth="1"/>
    <col min="4614" max="4614" width="16.28515625" style="2" customWidth="1"/>
    <col min="4615" max="4616" width="11.42578125" style="2"/>
    <col min="4617" max="4617" width="11.7109375" style="2" bestFit="1" customWidth="1"/>
    <col min="4618" max="4618" width="12.28515625" style="2" customWidth="1"/>
    <col min="4619" max="4849" width="11.42578125" style="2"/>
    <col min="4850" max="4850" width="32.42578125" style="2" customWidth="1"/>
    <col min="4851" max="4851" width="13.28515625" style="2" customWidth="1"/>
    <col min="4852" max="4852" width="11.85546875" style="2" customWidth="1"/>
    <col min="4853" max="4853" width="13.140625" style="2" customWidth="1"/>
    <col min="4854" max="4854" width="14.42578125" style="2" customWidth="1"/>
    <col min="4855" max="4855" width="12.85546875" style="2" customWidth="1"/>
    <col min="4856" max="4861" width="12.28515625" style="2" bestFit="1" customWidth="1"/>
    <col min="4862" max="4869" width="13.85546875" style="2" bestFit="1" customWidth="1"/>
    <col min="4870" max="4870" width="16.28515625" style="2" customWidth="1"/>
    <col min="4871" max="4872" width="11.42578125" style="2"/>
    <col min="4873" max="4873" width="11.7109375" style="2" bestFit="1" customWidth="1"/>
    <col min="4874" max="4874" width="12.28515625" style="2" customWidth="1"/>
    <col min="4875" max="5105" width="11.42578125" style="2"/>
    <col min="5106" max="5106" width="32.42578125" style="2" customWidth="1"/>
    <col min="5107" max="5107" width="13.28515625" style="2" customWidth="1"/>
    <col min="5108" max="5108" width="11.85546875" style="2" customWidth="1"/>
    <col min="5109" max="5109" width="13.140625" style="2" customWidth="1"/>
    <col min="5110" max="5110" width="14.42578125" style="2" customWidth="1"/>
    <col min="5111" max="5111" width="12.85546875" style="2" customWidth="1"/>
    <col min="5112" max="5117" width="12.28515625" style="2" bestFit="1" customWidth="1"/>
    <col min="5118" max="5125" width="13.85546875" style="2" bestFit="1" customWidth="1"/>
    <col min="5126" max="5126" width="16.28515625" style="2" customWidth="1"/>
    <col min="5127" max="5128" width="11.42578125" style="2"/>
    <col min="5129" max="5129" width="11.7109375" style="2" bestFit="1" customWidth="1"/>
    <col min="5130" max="5130" width="12.28515625" style="2" customWidth="1"/>
    <col min="5131" max="5361" width="11.42578125" style="2"/>
    <col min="5362" max="5362" width="32.42578125" style="2" customWidth="1"/>
    <col min="5363" max="5363" width="13.28515625" style="2" customWidth="1"/>
    <col min="5364" max="5364" width="11.85546875" style="2" customWidth="1"/>
    <col min="5365" max="5365" width="13.140625" style="2" customWidth="1"/>
    <col min="5366" max="5366" width="14.42578125" style="2" customWidth="1"/>
    <col min="5367" max="5367" width="12.85546875" style="2" customWidth="1"/>
    <col min="5368" max="5373" width="12.28515625" style="2" bestFit="1" customWidth="1"/>
    <col min="5374" max="5381" width="13.85546875" style="2" bestFit="1" customWidth="1"/>
    <col min="5382" max="5382" width="16.28515625" style="2" customWidth="1"/>
    <col min="5383" max="5384" width="11.42578125" style="2"/>
    <col min="5385" max="5385" width="11.7109375" style="2" bestFit="1" customWidth="1"/>
    <col min="5386" max="5386" width="12.28515625" style="2" customWidth="1"/>
    <col min="5387" max="5617" width="11.42578125" style="2"/>
    <col min="5618" max="5618" width="32.42578125" style="2" customWidth="1"/>
    <col min="5619" max="5619" width="13.28515625" style="2" customWidth="1"/>
    <col min="5620" max="5620" width="11.85546875" style="2" customWidth="1"/>
    <col min="5621" max="5621" width="13.140625" style="2" customWidth="1"/>
    <col min="5622" max="5622" width="14.42578125" style="2" customWidth="1"/>
    <col min="5623" max="5623" width="12.85546875" style="2" customWidth="1"/>
    <col min="5624" max="5629" width="12.28515625" style="2" bestFit="1" customWidth="1"/>
    <col min="5630" max="5637" width="13.85546875" style="2" bestFit="1" customWidth="1"/>
    <col min="5638" max="5638" width="16.28515625" style="2" customWidth="1"/>
    <col min="5639" max="5640" width="11.42578125" style="2"/>
    <col min="5641" max="5641" width="11.7109375" style="2" bestFit="1" customWidth="1"/>
    <col min="5642" max="5642" width="12.28515625" style="2" customWidth="1"/>
    <col min="5643" max="5873" width="11.42578125" style="2"/>
    <col min="5874" max="5874" width="32.42578125" style="2" customWidth="1"/>
    <col min="5875" max="5875" width="13.28515625" style="2" customWidth="1"/>
    <col min="5876" max="5876" width="11.85546875" style="2" customWidth="1"/>
    <col min="5877" max="5877" width="13.140625" style="2" customWidth="1"/>
    <col min="5878" max="5878" width="14.42578125" style="2" customWidth="1"/>
    <col min="5879" max="5879" width="12.85546875" style="2" customWidth="1"/>
    <col min="5880" max="5885" width="12.28515625" style="2" bestFit="1" customWidth="1"/>
    <col min="5886" max="5893" width="13.85546875" style="2" bestFit="1" customWidth="1"/>
    <col min="5894" max="5894" width="16.28515625" style="2" customWidth="1"/>
    <col min="5895" max="5896" width="11.42578125" style="2"/>
    <col min="5897" max="5897" width="11.7109375" style="2" bestFit="1" customWidth="1"/>
    <col min="5898" max="5898" width="12.28515625" style="2" customWidth="1"/>
    <col min="5899" max="6129" width="11.42578125" style="2"/>
    <col min="6130" max="6130" width="32.42578125" style="2" customWidth="1"/>
    <col min="6131" max="6131" width="13.28515625" style="2" customWidth="1"/>
    <col min="6132" max="6132" width="11.85546875" style="2" customWidth="1"/>
    <col min="6133" max="6133" width="13.140625" style="2" customWidth="1"/>
    <col min="6134" max="6134" width="14.42578125" style="2" customWidth="1"/>
    <col min="6135" max="6135" width="12.85546875" style="2" customWidth="1"/>
    <col min="6136" max="6141" width="12.28515625" style="2" bestFit="1" customWidth="1"/>
    <col min="6142" max="6149" width="13.85546875" style="2" bestFit="1" customWidth="1"/>
    <col min="6150" max="6150" width="16.28515625" style="2" customWidth="1"/>
    <col min="6151" max="6152" width="11.42578125" style="2"/>
    <col min="6153" max="6153" width="11.7109375" style="2" bestFit="1" customWidth="1"/>
    <col min="6154" max="6154" width="12.28515625" style="2" customWidth="1"/>
    <col min="6155" max="6385" width="11.42578125" style="2"/>
    <col min="6386" max="6386" width="32.42578125" style="2" customWidth="1"/>
    <col min="6387" max="6387" width="13.28515625" style="2" customWidth="1"/>
    <col min="6388" max="6388" width="11.85546875" style="2" customWidth="1"/>
    <col min="6389" max="6389" width="13.140625" style="2" customWidth="1"/>
    <col min="6390" max="6390" width="14.42578125" style="2" customWidth="1"/>
    <col min="6391" max="6391" width="12.85546875" style="2" customWidth="1"/>
    <col min="6392" max="6397" width="12.28515625" style="2" bestFit="1" customWidth="1"/>
    <col min="6398" max="6405" width="13.85546875" style="2" bestFit="1" customWidth="1"/>
    <col min="6406" max="6406" width="16.28515625" style="2" customWidth="1"/>
    <col min="6407" max="6408" width="11.42578125" style="2"/>
    <col min="6409" max="6409" width="11.7109375" style="2" bestFit="1" customWidth="1"/>
    <col min="6410" max="6410" width="12.28515625" style="2" customWidth="1"/>
    <col min="6411" max="6641" width="11.42578125" style="2"/>
    <col min="6642" max="6642" width="32.42578125" style="2" customWidth="1"/>
    <col min="6643" max="6643" width="13.28515625" style="2" customWidth="1"/>
    <col min="6644" max="6644" width="11.85546875" style="2" customWidth="1"/>
    <col min="6645" max="6645" width="13.140625" style="2" customWidth="1"/>
    <col min="6646" max="6646" width="14.42578125" style="2" customWidth="1"/>
    <col min="6647" max="6647" width="12.85546875" style="2" customWidth="1"/>
    <col min="6648" max="6653" width="12.28515625" style="2" bestFit="1" customWidth="1"/>
    <col min="6654" max="6661" width="13.85546875" style="2" bestFit="1" customWidth="1"/>
    <col min="6662" max="6662" width="16.28515625" style="2" customWidth="1"/>
    <col min="6663" max="6664" width="11.42578125" style="2"/>
    <col min="6665" max="6665" width="11.7109375" style="2" bestFit="1" customWidth="1"/>
    <col min="6666" max="6666" width="12.28515625" style="2" customWidth="1"/>
    <col min="6667" max="6897" width="11.42578125" style="2"/>
    <col min="6898" max="6898" width="32.42578125" style="2" customWidth="1"/>
    <col min="6899" max="6899" width="13.28515625" style="2" customWidth="1"/>
    <col min="6900" max="6900" width="11.85546875" style="2" customWidth="1"/>
    <col min="6901" max="6901" width="13.140625" style="2" customWidth="1"/>
    <col min="6902" max="6902" width="14.42578125" style="2" customWidth="1"/>
    <col min="6903" max="6903" width="12.85546875" style="2" customWidth="1"/>
    <col min="6904" max="6909" width="12.28515625" style="2" bestFit="1" customWidth="1"/>
    <col min="6910" max="6917" width="13.85546875" style="2" bestFit="1" customWidth="1"/>
    <col min="6918" max="6918" width="16.28515625" style="2" customWidth="1"/>
    <col min="6919" max="6920" width="11.42578125" style="2"/>
    <col min="6921" max="6921" width="11.7109375" style="2" bestFit="1" customWidth="1"/>
    <col min="6922" max="6922" width="12.28515625" style="2" customWidth="1"/>
    <col min="6923" max="7153" width="11.42578125" style="2"/>
    <col min="7154" max="7154" width="32.42578125" style="2" customWidth="1"/>
    <col min="7155" max="7155" width="13.28515625" style="2" customWidth="1"/>
    <col min="7156" max="7156" width="11.85546875" style="2" customWidth="1"/>
    <col min="7157" max="7157" width="13.140625" style="2" customWidth="1"/>
    <col min="7158" max="7158" width="14.42578125" style="2" customWidth="1"/>
    <col min="7159" max="7159" width="12.85546875" style="2" customWidth="1"/>
    <col min="7160" max="7165" width="12.28515625" style="2" bestFit="1" customWidth="1"/>
    <col min="7166" max="7173" width="13.85546875" style="2" bestFit="1" customWidth="1"/>
    <col min="7174" max="7174" width="16.28515625" style="2" customWidth="1"/>
    <col min="7175" max="7176" width="11.42578125" style="2"/>
    <col min="7177" max="7177" width="11.7109375" style="2" bestFit="1" customWidth="1"/>
    <col min="7178" max="7178" width="12.28515625" style="2" customWidth="1"/>
    <col min="7179" max="7409" width="11.42578125" style="2"/>
    <col min="7410" max="7410" width="32.42578125" style="2" customWidth="1"/>
    <col min="7411" max="7411" width="13.28515625" style="2" customWidth="1"/>
    <col min="7412" max="7412" width="11.85546875" style="2" customWidth="1"/>
    <col min="7413" max="7413" width="13.140625" style="2" customWidth="1"/>
    <col min="7414" max="7414" width="14.42578125" style="2" customWidth="1"/>
    <col min="7415" max="7415" width="12.85546875" style="2" customWidth="1"/>
    <col min="7416" max="7421" width="12.28515625" style="2" bestFit="1" customWidth="1"/>
    <col min="7422" max="7429" width="13.85546875" style="2" bestFit="1" customWidth="1"/>
    <col min="7430" max="7430" width="16.28515625" style="2" customWidth="1"/>
    <col min="7431" max="7432" width="11.42578125" style="2"/>
    <col min="7433" max="7433" width="11.7109375" style="2" bestFit="1" customWidth="1"/>
    <col min="7434" max="7434" width="12.28515625" style="2" customWidth="1"/>
    <col min="7435" max="7665" width="11.42578125" style="2"/>
    <col min="7666" max="7666" width="32.42578125" style="2" customWidth="1"/>
    <col min="7667" max="7667" width="13.28515625" style="2" customWidth="1"/>
    <col min="7668" max="7668" width="11.85546875" style="2" customWidth="1"/>
    <col min="7669" max="7669" width="13.140625" style="2" customWidth="1"/>
    <col min="7670" max="7670" width="14.42578125" style="2" customWidth="1"/>
    <col min="7671" max="7671" width="12.85546875" style="2" customWidth="1"/>
    <col min="7672" max="7677" width="12.28515625" style="2" bestFit="1" customWidth="1"/>
    <col min="7678" max="7685" width="13.85546875" style="2" bestFit="1" customWidth="1"/>
    <col min="7686" max="7686" width="16.28515625" style="2" customWidth="1"/>
    <col min="7687" max="7688" width="11.42578125" style="2"/>
    <col min="7689" max="7689" width="11.7109375" style="2" bestFit="1" customWidth="1"/>
    <col min="7690" max="7690" width="12.28515625" style="2" customWidth="1"/>
    <col min="7691" max="7921" width="11.42578125" style="2"/>
    <col min="7922" max="7922" width="32.42578125" style="2" customWidth="1"/>
    <col min="7923" max="7923" width="13.28515625" style="2" customWidth="1"/>
    <col min="7924" max="7924" width="11.85546875" style="2" customWidth="1"/>
    <col min="7925" max="7925" width="13.140625" style="2" customWidth="1"/>
    <col min="7926" max="7926" width="14.42578125" style="2" customWidth="1"/>
    <col min="7927" max="7927" width="12.85546875" style="2" customWidth="1"/>
    <col min="7928" max="7933" width="12.28515625" style="2" bestFit="1" customWidth="1"/>
    <col min="7934" max="7941" width="13.85546875" style="2" bestFit="1" customWidth="1"/>
    <col min="7942" max="7942" width="16.28515625" style="2" customWidth="1"/>
    <col min="7943" max="7944" width="11.42578125" style="2"/>
    <col min="7945" max="7945" width="11.7109375" style="2" bestFit="1" customWidth="1"/>
    <col min="7946" max="7946" width="12.28515625" style="2" customWidth="1"/>
    <col min="7947" max="8177" width="11.42578125" style="2"/>
    <col min="8178" max="8178" width="32.42578125" style="2" customWidth="1"/>
    <col min="8179" max="8179" width="13.28515625" style="2" customWidth="1"/>
    <col min="8180" max="8180" width="11.85546875" style="2" customWidth="1"/>
    <col min="8181" max="8181" width="13.140625" style="2" customWidth="1"/>
    <col min="8182" max="8182" width="14.42578125" style="2" customWidth="1"/>
    <col min="8183" max="8183" width="12.85546875" style="2" customWidth="1"/>
    <col min="8184" max="8189" width="12.28515625" style="2" bestFit="1" customWidth="1"/>
    <col min="8190" max="8197" width="13.85546875" style="2" bestFit="1" customWidth="1"/>
    <col min="8198" max="8198" width="16.28515625" style="2" customWidth="1"/>
    <col min="8199" max="8200" width="11.42578125" style="2"/>
    <col min="8201" max="8201" width="11.7109375" style="2" bestFit="1" customWidth="1"/>
    <col min="8202" max="8202" width="12.28515625" style="2" customWidth="1"/>
    <col min="8203" max="8433" width="11.42578125" style="2"/>
    <col min="8434" max="8434" width="32.42578125" style="2" customWidth="1"/>
    <col min="8435" max="8435" width="13.28515625" style="2" customWidth="1"/>
    <col min="8436" max="8436" width="11.85546875" style="2" customWidth="1"/>
    <col min="8437" max="8437" width="13.140625" style="2" customWidth="1"/>
    <col min="8438" max="8438" width="14.42578125" style="2" customWidth="1"/>
    <col min="8439" max="8439" width="12.85546875" style="2" customWidth="1"/>
    <col min="8440" max="8445" width="12.28515625" style="2" bestFit="1" customWidth="1"/>
    <col min="8446" max="8453" width="13.85546875" style="2" bestFit="1" customWidth="1"/>
    <col min="8454" max="8454" width="16.28515625" style="2" customWidth="1"/>
    <col min="8455" max="8456" width="11.42578125" style="2"/>
    <col min="8457" max="8457" width="11.7109375" style="2" bestFit="1" customWidth="1"/>
    <col min="8458" max="8458" width="12.28515625" style="2" customWidth="1"/>
    <col min="8459" max="8689" width="11.42578125" style="2"/>
    <col min="8690" max="8690" width="32.42578125" style="2" customWidth="1"/>
    <col min="8691" max="8691" width="13.28515625" style="2" customWidth="1"/>
    <col min="8692" max="8692" width="11.85546875" style="2" customWidth="1"/>
    <col min="8693" max="8693" width="13.140625" style="2" customWidth="1"/>
    <col min="8694" max="8694" width="14.42578125" style="2" customWidth="1"/>
    <col min="8695" max="8695" width="12.85546875" style="2" customWidth="1"/>
    <col min="8696" max="8701" width="12.28515625" style="2" bestFit="1" customWidth="1"/>
    <col min="8702" max="8709" width="13.85546875" style="2" bestFit="1" customWidth="1"/>
    <col min="8710" max="8710" width="16.28515625" style="2" customWidth="1"/>
    <col min="8711" max="8712" width="11.42578125" style="2"/>
    <col min="8713" max="8713" width="11.7109375" style="2" bestFit="1" customWidth="1"/>
    <col min="8714" max="8714" width="12.28515625" style="2" customWidth="1"/>
    <col min="8715" max="8945" width="11.42578125" style="2"/>
    <col min="8946" max="8946" width="32.42578125" style="2" customWidth="1"/>
    <col min="8947" max="8947" width="13.28515625" style="2" customWidth="1"/>
    <col min="8948" max="8948" width="11.85546875" style="2" customWidth="1"/>
    <col min="8949" max="8949" width="13.140625" style="2" customWidth="1"/>
    <col min="8950" max="8950" width="14.42578125" style="2" customWidth="1"/>
    <col min="8951" max="8951" width="12.85546875" style="2" customWidth="1"/>
    <col min="8952" max="8957" width="12.28515625" style="2" bestFit="1" customWidth="1"/>
    <col min="8958" max="8965" width="13.85546875" style="2" bestFit="1" customWidth="1"/>
    <col min="8966" max="8966" width="16.28515625" style="2" customWidth="1"/>
    <col min="8967" max="8968" width="11.42578125" style="2"/>
    <col min="8969" max="8969" width="11.7109375" style="2" bestFit="1" customWidth="1"/>
    <col min="8970" max="8970" width="12.28515625" style="2" customWidth="1"/>
    <col min="8971" max="9201" width="11.42578125" style="2"/>
    <col min="9202" max="9202" width="32.42578125" style="2" customWidth="1"/>
    <col min="9203" max="9203" width="13.28515625" style="2" customWidth="1"/>
    <col min="9204" max="9204" width="11.85546875" style="2" customWidth="1"/>
    <col min="9205" max="9205" width="13.140625" style="2" customWidth="1"/>
    <col min="9206" max="9206" width="14.42578125" style="2" customWidth="1"/>
    <col min="9207" max="9207" width="12.85546875" style="2" customWidth="1"/>
    <col min="9208" max="9213" width="12.28515625" style="2" bestFit="1" customWidth="1"/>
    <col min="9214" max="9221" width="13.85546875" style="2" bestFit="1" customWidth="1"/>
    <col min="9222" max="9222" width="16.28515625" style="2" customWidth="1"/>
    <col min="9223" max="9224" width="11.42578125" style="2"/>
    <col min="9225" max="9225" width="11.7109375" style="2" bestFit="1" customWidth="1"/>
    <col min="9226" max="9226" width="12.28515625" style="2" customWidth="1"/>
    <col min="9227" max="9457" width="11.42578125" style="2"/>
    <col min="9458" max="9458" width="32.42578125" style="2" customWidth="1"/>
    <col min="9459" max="9459" width="13.28515625" style="2" customWidth="1"/>
    <col min="9460" max="9460" width="11.85546875" style="2" customWidth="1"/>
    <col min="9461" max="9461" width="13.140625" style="2" customWidth="1"/>
    <col min="9462" max="9462" width="14.42578125" style="2" customWidth="1"/>
    <col min="9463" max="9463" width="12.85546875" style="2" customWidth="1"/>
    <col min="9464" max="9469" width="12.28515625" style="2" bestFit="1" customWidth="1"/>
    <col min="9470" max="9477" width="13.85546875" style="2" bestFit="1" customWidth="1"/>
    <col min="9478" max="9478" width="16.28515625" style="2" customWidth="1"/>
    <col min="9479" max="9480" width="11.42578125" style="2"/>
    <col min="9481" max="9481" width="11.7109375" style="2" bestFit="1" customWidth="1"/>
    <col min="9482" max="9482" width="12.28515625" style="2" customWidth="1"/>
    <col min="9483" max="9713" width="11.42578125" style="2"/>
    <col min="9714" max="9714" width="32.42578125" style="2" customWidth="1"/>
    <col min="9715" max="9715" width="13.28515625" style="2" customWidth="1"/>
    <col min="9716" max="9716" width="11.85546875" style="2" customWidth="1"/>
    <col min="9717" max="9717" width="13.140625" style="2" customWidth="1"/>
    <col min="9718" max="9718" width="14.42578125" style="2" customWidth="1"/>
    <col min="9719" max="9719" width="12.85546875" style="2" customWidth="1"/>
    <col min="9720" max="9725" width="12.28515625" style="2" bestFit="1" customWidth="1"/>
    <col min="9726" max="9733" width="13.85546875" style="2" bestFit="1" customWidth="1"/>
    <col min="9734" max="9734" width="16.28515625" style="2" customWidth="1"/>
    <col min="9735" max="9736" width="11.42578125" style="2"/>
    <col min="9737" max="9737" width="11.7109375" style="2" bestFit="1" customWidth="1"/>
    <col min="9738" max="9738" width="12.28515625" style="2" customWidth="1"/>
    <col min="9739" max="9969" width="11.42578125" style="2"/>
    <col min="9970" max="9970" width="32.42578125" style="2" customWidth="1"/>
    <col min="9971" max="9971" width="13.28515625" style="2" customWidth="1"/>
    <col min="9972" max="9972" width="11.85546875" style="2" customWidth="1"/>
    <col min="9973" max="9973" width="13.140625" style="2" customWidth="1"/>
    <col min="9974" max="9974" width="14.42578125" style="2" customWidth="1"/>
    <col min="9975" max="9975" width="12.85546875" style="2" customWidth="1"/>
    <col min="9976" max="9981" width="12.28515625" style="2" bestFit="1" customWidth="1"/>
    <col min="9982" max="9989" width="13.85546875" style="2" bestFit="1" customWidth="1"/>
    <col min="9990" max="9990" width="16.28515625" style="2" customWidth="1"/>
    <col min="9991" max="9992" width="11.42578125" style="2"/>
    <col min="9993" max="9993" width="11.7109375" style="2" bestFit="1" customWidth="1"/>
    <col min="9994" max="9994" width="12.28515625" style="2" customWidth="1"/>
    <col min="9995" max="10225" width="11.42578125" style="2"/>
    <col min="10226" max="10226" width="32.42578125" style="2" customWidth="1"/>
    <col min="10227" max="10227" width="13.28515625" style="2" customWidth="1"/>
    <col min="10228" max="10228" width="11.85546875" style="2" customWidth="1"/>
    <col min="10229" max="10229" width="13.140625" style="2" customWidth="1"/>
    <col min="10230" max="10230" width="14.42578125" style="2" customWidth="1"/>
    <col min="10231" max="10231" width="12.85546875" style="2" customWidth="1"/>
    <col min="10232" max="10237" width="12.28515625" style="2" bestFit="1" customWidth="1"/>
    <col min="10238" max="10245" width="13.85546875" style="2" bestFit="1" customWidth="1"/>
    <col min="10246" max="10246" width="16.28515625" style="2" customWidth="1"/>
    <col min="10247" max="10248" width="11.42578125" style="2"/>
    <col min="10249" max="10249" width="11.7109375" style="2" bestFit="1" customWidth="1"/>
    <col min="10250" max="10250" width="12.28515625" style="2" customWidth="1"/>
    <col min="10251" max="10481" width="11.42578125" style="2"/>
    <col min="10482" max="10482" width="32.42578125" style="2" customWidth="1"/>
    <col min="10483" max="10483" width="13.28515625" style="2" customWidth="1"/>
    <col min="10484" max="10484" width="11.85546875" style="2" customWidth="1"/>
    <col min="10485" max="10485" width="13.140625" style="2" customWidth="1"/>
    <col min="10486" max="10486" width="14.42578125" style="2" customWidth="1"/>
    <col min="10487" max="10487" width="12.85546875" style="2" customWidth="1"/>
    <col min="10488" max="10493" width="12.28515625" style="2" bestFit="1" customWidth="1"/>
    <col min="10494" max="10501" width="13.85546875" style="2" bestFit="1" customWidth="1"/>
    <col min="10502" max="10502" width="16.28515625" style="2" customWidth="1"/>
    <col min="10503" max="10504" width="11.42578125" style="2"/>
    <col min="10505" max="10505" width="11.7109375" style="2" bestFit="1" customWidth="1"/>
    <col min="10506" max="10506" width="12.28515625" style="2" customWidth="1"/>
    <col min="10507" max="10737" width="11.42578125" style="2"/>
    <col min="10738" max="10738" width="32.42578125" style="2" customWidth="1"/>
    <col min="10739" max="10739" width="13.28515625" style="2" customWidth="1"/>
    <col min="10740" max="10740" width="11.85546875" style="2" customWidth="1"/>
    <col min="10741" max="10741" width="13.140625" style="2" customWidth="1"/>
    <col min="10742" max="10742" width="14.42578125" style="2" customWidth="1"/>
    <col min="10743" max="10743" width="12.85546875" style="2" customWidth="1"/>
    <col min="10744" max="10749" width="12.28515625" style="2" bestFit="1" customWidth="1"/>
    <col min="10750" max="10757" width="13.85546875" style="2" bestFit="1" customWidth="1"/>
    <col min="10758" max="10758" width="16.28515625" style="2" customWidth="1"/>
    <col min="10759" max="10760" width="11.42578125" style="2"/>
    <col min="10761" max="10761" width="11.7109375" style="2" bestFit="1" customWidth="1"/>
    <col min="10762" max="10762" width="12.28515625" style="2" customWidth="1"/>
    <col min="10763" max="10993" width="11.42578125" style="2"/>
    <col min="10994" max="10994" width="32.42578125" style="2" customWidth="1"/>
    <col min="10995" max="10995" width="13.28515625" style="2" customWidth="1"/>
    <col min="10996" max="10996" width="11.85546875" style="2" customWidth="1"/>
    <col min="10997" max="10997" width="13.140625" style="2" customWidth="1"/>
    <col min="10998" max="10998" width="14.42578125" style="2" customWidth="1"/>
    <col min="10999" max="10999" width="12.85546875" style="2" customWidth="1"/>
    <col min="11000" max="11005" width="12.28515625" style="2" bestFit="1" customWidth="1"/>
    <col min="11006" max="11013" width="13.85546875" style="2" bestFit="1" customWidth="1"/>
    <col min="11014" max="11014" width="16.28515625" style="2" customWidth="1"/>
    <col min="11015" max="11016" width="11.42578125" style="2"/>
    <col min="11017" max="11017" width="11.7109375" style="2" bestFit="1" customWidth="1"/>
    <col min="11018" max="11018" width="12.28515625" style="2" customWidth="1"/>
    <col min="11019" max="11249" width="11.42578125" style="2"/>
    <col min="11250" max="11250" width="32.42578125" style="2" customWidth="1"/>
    <col min="11251" max="11251" width="13.28515625" style="2" customWidth="1"/>
    <col min="11252" max="11252" width="11.85546875" style="2" customWidth="1"/>
    <col min="11253" max="11253" width="13.140625" style="2" customWidth="1"/>
    <col min="11254" max="11254" width="14.42578125" style="2" customWidth="1"/>
    <col min="11255" max="11255" width="12.85546875" style="2" customWidth="1"/>
    <col min="11256" max="11261" width="12.28515625" style="2" bestFit="1" customWidth="1"/>
    <col min="11262" max="11269" width="13.85546875" style="2" bestFit="1" customWidth="1"/>
    <col min="11270" max="11270" width="16.28515625" style="2" customWidth="1"/>
    <col min="11271" max="11272" width="11.42578125" style="2"/>
    <col min="11273" max="11273" width="11.7109375" style="2" bestFit="1" customWidth="1"/>
    <col min="11274" max="11274" width="12.28515625" style="2" customWidth="1"/>
    <col min="11275" max="11505" width="11.42578125" style="2"/>
    <col min="11506" max="11506" width="32.42578125" style="2" customWidth="1"/>
    <col min="11507" max="11507" width="13.28515625" style="2" customWidth="1"/>
    <col min="11508" max="11508" width="11.85546875" style="2" customWidth="1"/>
    <col min="11509" max="11509" width="13.140625" style="2" customWidth="1"/>
    <col min="11510" max="11510" width="14.42578125" style="2" customWidth="1"/>
    <col min="11511" max="11511" width="12.85546875" style="2" customWidth="1"/>
    <col min="11512" max="11517" width="12.28515625" style="2" bestFit="1" customWidth="1"/>
    <col min="11518" max="11525" width="13.85546875" style="2" bestFit="1" customWidth="1"/>
    <col min="11526" max="11526" width="16.28515625" style="2" customWidth="1"/>
    <col min="11527" max="11528" width="11.42578125" style="2"/>
    <col min="11529" max="11529" width="11.7109375" style="2" bestFit="1" customWidth="1"/>
    <col min="11530" max="11530" width="12.28515625" style="2" customWidth="1"/>
    <col min="11531" max="11761" width="11.42578125" style="2"/>
    <col min="11762" max="11762" width="32.42578125" style="2" customWidth="1"/>
    <col min="11763" max="11763" width="13.28515625" style="2" customWidth="1"/>
    <col min="11764" max="11764" width="11.85546875" style="2" customWidth="1"/>
    <col min="11765" max="11765" width="13.140625" style="2" customWidth="1"/>
    <col min="11766" max="11766" width="14.42578125" style="2" customWidth="1"/>
    <col min="11767" max="11767" width="12.85546875" style="2" customWidth="1"/>
    <col min="11768" max="11773" width="12.28515625" style="2" bestFit="1" customWidth="1"/>
    <col min="11774" max="11781" width="13.85546875" style="2" bestFit="1" customWidth="1"/>
    <col min="11782" max="11782" width="16.28515625" style="2" customWidth="1"/>
    <col min="11783" max="11784" width="11.42578125" style="2"/>
    <col min="11785" max="11785" width="11.7109375" style="2" bestFit="1" customWidth="1"/>
    <col min="11786" max="11786" width="12.28515625" style="2" customWidth="1"/>
    <col min="11787" max="12017" width="11.42578125" style="2"/>
    <col min="12018" max="12018" width="32.42578125" style="2" customWidth="1"/>
    <col min="12019" max="12019" width="13.28515625" style="2" customWidth="1"/>
    <col min="12020" max="12020" width="11.85546875" style="2" customWidth="1"/>
    <col min="12021" max="12021" width="13.140625" style="2" customWidth="1"/>
    <col min="12022" max="12022" width="14.42578125" style="2" customWidth="1"/>
    <col min="12023" max="12023" width="12.85546875" style="2" customWidth="1"/>
    <col min="12024" max="12029" width="12.28515625" style="2" bestFit="1" customWidth="1"/>
    <col min="12030" max="12037" width="13.85546875" style="2" bestFit="1" customWidth="1"/>
    <col min="12038" max="12038" width="16.28515625" style="2" customWidth="1"/>
    <col min="12039" max="12040" width="11.42578125" style="2"/>
    <col min="12041" max="12041" width="11.7109375" style="2" bestFit="1" customWidth="1"/>
    <col min="12042" max="12042" width="12.28515625" style="2" customWidth="1"/>
    <col min="12043" max="12273" width="11.42578125" style="2"/>
    <col min="12274" max="12274" width="32.42578125" style="2" customWidth="1"/>
    <col min="12275" max="12275" width="13.28515625" style="2" customWidth="1"/>
    <col min="12276" max="12276" width="11.85546875" style="2" customWidth="1"/>
    <col min="12277" max="12277" width="13.140625" style="2" customWidth="1"/>
    <col min="12278" max="12278" width="14.42578125" style="2" customWidth="1"/>
    <col min="12279" max="12279" width="12.85546875" style="2" customWidth="1"/>
    <col min="12280" max="12285" width="12.28515625" style="2" bestFit="1" customWidth="1"/>
    <col min="12286" max="12293" width="13.85546875" style="2" bestFit="1" customWidth="1"/>
    <col min="12294" max="12294" width="16.28515625" style="2" customWidth="1"/>
    <col min="12295" max="12296" width="11.42578125" style="2"/>
    <col min="12297" max="12297" width="11.7109375" style="2" bestFit="1" customWidth="1"/>
    <col min="12298" max="12298" width="12.28515625" style="2" customWidth="1"/>
    <col min="12299" max="12529" width="11.42578125" style="2"/>
    <col min="12530" max="12530" width="32.42578125" style="2" customWidth="1"/>
    <col min="12531" max="12531" width="13.28515625" style="2" customWidth="1"/>
    <col min="12532" max="12532" width="11.85546875" style="2" customWidth="1"/>
    <col min="12533" max="12533" width="13.140625" style="2" customWidth="1"/>
    <col min="12534" max="12534" width="14.42578125" style="2" customWidth="1"/>
    <col min="12535" max="12535" width="12.85546875" style="2" customWidth="1"/>
    <col min="12536" max="12541" width="12.28515625" style="2" bestFit="1" customWidth="1"/>
    <col min="12542" max="12549" width="13.85546875" style="2" bestFit="1" customWidth="1"/>
    <col min="12550" max="12550" width="16.28515625" style="2" customWidth="1"/>
    <col min="12551" max="12552" width="11.42578125" style="2"/>
    <col min="12553" max="12553" width="11.7109375" style="2" bestFit="1" customWidth="1"/>
    <col min="12554" max="12554" width="12.28515625" style="2" customWidth="1"/>
    <col min="12555" max="12785" width="11.42578125" style="2"/>
    <col min="12786" max="12786" width="32.42578125" style="2" customWidth="1"/>
    <col min="12787" max="12787" width="13.28515625" style="2" customWidth="1"/>
    <col min="12788" max="12788" width="11.85546875" style="2" customWidth="1"/>
    <col min="12789" max="12789" width="13.140625" style="2" customWidth="1"/>
    <col min="12790" max="12790" width="14.42578125" style="2" customWidth="1"/>
    <col min="12791" max="12791" width="12.85546875" style="2" customWidth="1"/>
    <col min="12792" max="12797" width="12.28515625" style="2" bestFit="1" customWidth="1"/>
    <col min="12798" max="12805" width="13.85546875" style="2" bestFit="1" customWidth="1"/>
    <col min="12806" max="12806" width="16.28515625" style="2" customWidth="1"/>
    <col min="12807" max="12808" width="11.42578125" style="2"/>
    <col min="12809" max="12809" width="11.7109375" style="2" bestFit="1" customWidth="1"/>
    <col min="12810" max="12810" width="12.28515625" style="2" customWidth="1"/>
    <col min="12811" max="13041" width="11.42578125" style="2"/>
    <col min="13042" max="13042" width="32.42578125" style="2" customWidth="1"/>
    <col min="13043" max="13043" width="13.28515625" style="2" customWidth="1"/>
    <col min="13044" max="13044" width="11.85546875" style="2" customWidth="1"/>
    <col min="13045" max="13045" width="13.140625" style="2" customWidth="1"/>
    <col min="13046" max="13046" width="14.42578125" style="2" customWidth="1"/>
    <col min="13047" max="13047" width="12.85546875" style="2" customWidth="1"/>
    <col min="13048" max="13053" width="12.28515625" style="2" bestFit="1" customWidth="1"/>
    <col min="13054" max="13061" width="13.85546875" style="2" bestFit="1" customWidth="1"/>
    <col min="13062" max="13062" width="16.28515625" style="2" customWidth="1"/>
    <col min="13063" max="13064" width="11.42578125" style="2"/>
    <col min="13065" max="13065" width="11.7109375" style="2" bestFit="1" customWidth="1"/>
    <col min="13066" max="13066" width="12.28515625" style="2" customWidth="1"/>
    <col min="13067" max="13297" width="11.42578125" style="2"/>
    <col min="13298" max="13298" width="32.42578125" style="2" customWidth="1"/>
    <col min="13299" max="13299" width="13.28515625" style="2" customWidth="1"/>
    <col min="13300" max="13300" width="11.85546875" style="2" customWidth="1"/>
    <col min="13301" max="13301" width="13.140625" style="2" customWidth="1"/>
    <col min="13302" max="13302" width="14.42578125" style="2" customWidth="1"/>
    <col min="13303" max="13303" width="12.85546875" style="2" customWidth="1"/>
    <col min="13304" max="13309" width="12.28515625" style="2" bestFit="1" customWidth="1"/>
    <col min="13310" max="13317" width="13.85546875" style="2" bestFit="1" customWidth="1"/>
    <col min="13318" max="13318" width="16.28515625" style="2" customWidth="1"/>
    <col min="13319" max="13320" width="11.42578125" style="2"/>
    <col min="13321" max="13321" width="11.7109375" style="2" bestFit="1" customWidth="1"/>
    <col min="13322" max="13322" width="12.28515625" style="2" customWidth="1"/>
    <col min="13323" max="13553" width="11.42578125" style="2"/>
    <col min="13554" max="13554" width="32.42578125" style="2" customWidth="1"/>
    <col min="13555" max="13555" width="13.28515625" style="2" customWidth="1"/>
    <col min="13556" max="13556" width="11.85546875" style="2" customWidth="1"/>
    <col min="13557" max="13557" width="13.140625" style="2" customWidth="1"/>
    <col min="13558" max="13558" width="14.42578125" style="2" customWidth="1"/>
    <col min="13559" max="13559" width="12.85546875" style="2" customWidth="1"/>
    <col min="13560" max="13565" width="12.28515625" style="2" bestFit="1" customWidth="1"/>
    <col min="13566" max="13573" width="13.85546875" style="2" bestFit="1" customWidth="1"/>
    <col min="13574" max="13574" width="16.28515625" style="2" customWidth="1"/>
    <col min="13575" max="13576" width="11.42578125" style="2"/>
    <col min="13577" max="13577" width="11.7109375" style="2" bestFit="1" customWidth="1"/>
    <col min="13578" max="13578" width="12.28515625" style="2" customWidth="1"/>
    <col min="13579" max="13809" width="11.42578125" style="2"/>
    <col min="13810" max="13810" width="32.42578125" style="2" customWidth="1"/>
    <col min="13811" max="13811" width="13.28515625" style="2" customWidth="1"/>
    <col min="13812" max="13812" width="11.85546875" style="2" customWidth="1"/>
    <col min="13813" max="13813" width="13.140625" style="2" customWidth="1"/>
    <col min="13814" max="13814" width="14.42578125" style="2" customWidth="1"/>
    <col min="13815" max="13815" width="12.85546875" style="2" customWidth="1"/>
    <col min="13816" max="13821" width="12.28515625" style="2" bestFit="1" customWidth="1"/>
    <col min="13822" max="13829" width="13.85546875" style="2" bestFit="1" customWidth="1"/>
    <col min="13830" max="13830" width="16.28515625" style="2" customWidth="1"/>
    <col min="13831" max="13832" width="11.42578125" style="2"/>
    <col min="13833" max="13833" width="11.7109375" style="2" bestFit="1" customWidth="1"/>
    <col min="13834" max="13834" width="12.28515625" style="2" customWidth="1"/>
    <col min="13835" max="14065" width="11.42578125" style="2"/>
    <col min="14066" max="14066" width="32.42578125" style="2" customWidth="1"/>
    <col min="14067" max="14067" width="13.28515625" style="2" customWidth="1"/>
    <col min="14068" max="14068" width="11.85546875" style="2" customWidth="1"/>
    <col min="14069" max="14069" width="13.140625" style="2" customWidth="1"/>
    <col min="14070" max="14070" width="14.42578125" style="2" customWidth="1"/>
    <col min="14071" max="14071" width="12.85546875" style="2" customWidth="1"/>
    <col min="14072" max="14077" width="12.28515625" style="2" bestFit="1" customWidth="1"/>
    <col min="14078" max="14085" width="13.85546875" style="2" bestFit="1" customWidth="1"/>
    <col min="14086" max="14086" width="16.28515625" style="2" customWidth="1"/>
    <col min="14087" max="14088" width="11.42578125" style="2"/>
    <col min="14089" max="14089" width="11.7109375" style="2" bestFit="1" customWidth="1"/>
    <col min="14090" max="14090" width="12.28515625" style="2" customWidth="1"/>
    <col min="14091" max="14321" width="11.42578125" style="2"/>
    <col min="14322" max="14322" width="32.42578125" style="2" customWidth="1"/>
    <col min="14323" max="14323" width="13.28515625" style="2" customWidth="1"/>
    <col min="14324" max="14324" width="11.85546875" style="2" customWidth="1"/>
    <col min="14325" max="14325" width="13.140625" style="2" customWidth="1"/>
    <col min="14326" max="14326" width="14.42578125" style="2" customWidth="1"/>
    <col min="14327" max="14327" width="12.85546875" style="2" customWidth="1"/>
    <col min="14328" max="14333" width="12.28515625" style="2" bestFit="1" customWidth="1"/>
    <col min="14334" max="14341" width="13.85546875" style="2" bestFit="1" customWidth="1"/>
    <col min="14342" max="14342" width="16.28515625" style="2" customWidth="1"/>
    <col min="14343" max="14344" width="11.42578125" style="2"/>
    <col min="14345" max="14345" width="11.7109375" style="2" bestFit="1" customWidth="1"/>
    <col min="14346" max="14346" width="12.28515625" style="2" customWidth="1"/>
    <col min="14347" max="14577" width="11.42578125" style="2"/>
    <col min="14578" max="14578" width="32.42578125" style="2" customWidth="1"/>
    <col min="14579" max="14579" width="13.28515625" style="2" customWidth="1"/>
    <col min="14580" max="14580" width="11.85546875" style="2" customWidth="1"/>
    <col min="14581" max="14581" width="13.140625" style="2" customWidth="1"/>
    <col min="14582" max="14582" width="14.42578125" style="2" customWidth="1"/>
    <col min="14583" max="14583" width="12.85546875" style="2" customWidth="1"/>
    <col min="14584" max="14589" width="12.28515625" style="2" bestFit="1" customWidth="1"/>
    <col min="14590" max="14597" width="13.85546875" style="2" bestFit="1" customWidth="1"/>
    <col min="14598" max="14598" width="16.28515625" style="2" customWidth="1"/>
    <col min="14599" max="14600" width="11.42578125" style="2"/>
    <col min="14601" max="14601" width="11.7109375" style="2" bestFit="1" customWidth="1"/>
    <col min="14602" max="14602" width="12.28515625" style="2" customWidth="1"/>
    <col min="14603" max="14833" width="11.42578125" style="2"/>
    <col min="14834" max="14834" width="32.42578125" style="2" customWidth="1"/>
    <col min="14835" max="14835" width="13.28515625" style="2" customWidth="1"/>
    <col min="14836" max="14836" width="11.85546875" style="2" customWidth="1"/>
    <col min="14837" max="14837" width="13.140625" style="2" customWidth="1"/>
    <col min="14838" max="14838" width="14.42578125" style="2" customWidth="1"/>
    <col min="14839" max="14839" width="12.85546875" style="2" customWidth="1"/>
    <col min="14840" max="14845" width="12.28515625" style="2" bestFit="1" customWidth="1"/>
    <col min="14846" max="14853" width="13.85546875" style="2" bestFit="1" customWidth="1"/>
    <col min="14854" max="14854" width="16.28515625" style="2" customWidth="1"/>
    <col min="14855" max="14856" width="11.42578125" style="2"/>
    <col min="14857" max="14857" width="11.7109375" style="2" bestFit="1" customWidth="1"/>
    <col min="14858" max="14858" width="12.28515625" style="2" customWidth="1"/>
    <col min="14859" max="15089" width="11.42578125" style="2"/>
    <col min="15090" max="15090" width="32.42578125" style="2" customWidth="1"/>
    <col min="15091" max="15091" width="13.28515625" style="2" customWidth="1"/>
    <col min="15092" max="15092" width="11.85546875" style="2" customWidth="1"/>
    <col min="15093" max="15093" width="13.140625" style="2" customWidth="1"/>
    <col min="15094" max="15094" width="14.42578125" style="2" customWidth="1"/>
    <col min="15095" max="15095" width="12.85546875" style="2" customWidth="1"/>
    <col min="15096" max="15101" width="12.28515625" style="2" bestFit="1" customWidth="1"/>
    <col min="15102" max="15109" width="13.85546875" style="2" bestFit="1" customWidth="1"/>
    <col min="15110" max="15110" width="16.28515625" style="2" customWidth="1"/>
    <col min="15111" max="15112" width="11.42578125" style="2"/>
    <col min="15113" max="15113" width="11.7109375" style="2" bestFit="1" customWidth="1"/>
    <col min="15114" max="15114" width="12.28515625" style="2" customWidth="1"/>
    <col min="15115" max="15345" width="11.42578125" style="2"/>
    <col min="15346" max="15346" width="32.42578125" style="2" customWidth="1"/>
    <col min="15347" max="15347" width="13.28515625" style="2" customWidth="1"/>
    <col min="15348" max="15348" width="11.85546875" style="2" customWidth="1"/>
    <col min="15349" max="15349" width="13.140625" style="2" customWidth="1"/>
    <col min="15350" max="15350" width="14.42578125" style="2" customWidth="1"/>
    <col min="15351" max="15351" width="12.85546875" style="2" customWidth="1"/>
    <col min="15352" max="15357" width="12.28515625" style="2" bestFit="1" customWidth="1"/>
    <col min="15358" max="15365" width="13.85546875" style="2" bestFit="1" customWidth="1"/>
    <col min="15366" max="15366" width="16.28515625" style="2" customWidth="1"/>
    <col min="15367" max="15368" width="11.42578125" style="2"/>
    <col min="15369" max="15369" width="11.7109375" style="2" bestFit="1" customWidth="1"/>
    <col min="15370" max="15370" width="12.28515625" style="2" customWidth="1"/>
    <col min="15371" max="15601" width="11.42578125" style="2"/>
    <col min="15602" max="15602" width="32.42578125" style="2" customWidth="1"/>
    <col min="15603" max="15603" width="13.28515625" style="2" customWidth="1"/>
    <col min="15604" max="15604" width="11.85546875" style="2" customWidth="1"/>
    <col min="15605" max="15605" width="13.140625" style="2" customWidth="1"/>
    <col min="15606" max="15606" width="14.42578125" style="2" customWidth="1"/>
    <col min="15607" max="15607" width="12.85546875" style="2" customWidth="1"/>
    <col min="15608" max="15613" width="12.28515625" style="2" bestFit="1" customWidth="1"/>
    <col min="15614" max="15621" width="13.85546875" style="2" bestFit="1" customWidth="1"/>
    <col min="15622" max="15622" width="16.28515625" style="2" customWidth="1"/>
    <col min="15623" max="15624" width="11.42578125" style="2"/>
    <col min="15625" max="15625" width="11.7109375" style="2" bestFit="1" customWidth="1"/>
    <col min="15626" max="15626" width="12.28515625" style="2" customWidth="1"/>
    <col min="15627" max="15857" width="11.42578125" style="2"/>
    <col min="15858" max="15858" width="32.42578125" style="2" customWidth="1"/>
    <col min="15859" max="15859" width="13.28515625" style="2" customWidth="1"/>
    <col min="15860" max="15860" width="11.85546875" style="2" customWidth="1"/>
    <col min="15861" max="15861" width="13.140625" style="2" customWidth="1"/>
    <col min="15862" max="15862" width="14.42578125" style="2" customWidth="1"/>
    <col min="15863" max="15863" width="12.85546875" style="2" customWidth="1"/>
    <col min="15864" max="15869" width="12.28515625" style="2" bestFit="1" customWidth="1"/>
    <col min="15870" max="15877" width="13.85546875" style="2" bestFit="1" customWidth="1"/>
    <col min="15878" max="15878" width="16.28515625" style="2" customWidth="1"/>
    <col min="15879" max="15880" width="11.42578125" style="2"/>
    <col min="15881" max="15881" width="11.7109375" style="2" bestFit="1" customWidth="1"/>
    <col min="15882" max="15882" width="12.28515625" style="2" customWidth="1"/>
    <col min="15883" max="16113" width="11.42578125" style="2"/>
    <col min="16114" max="16114" width="32.42578125" style="2" customWidth="1"/>
    <col min="16115" max="16115" width="13.28515625" style="2" customWidth="1"/>
    <col min="16116" max="16116" width="11.85546875" style="2" customWidth="1"/>
    <col min="16117" max="16117" width="13.140625" style="2" customWidth="1"/>
    <col min="16118" max="16118" width="14.42578125" style="2" customWidth="1"/>
    <col min="16119" max="16119" width="12.85546875" style="2" customWidth="1"/>
    <col min="16120" max="16125" width="12.28515625" style="2" bestFit="1" customWidth="1"/>
    <col min="16126" max="16133" width="13.85546875" style="2" bestFit="1" customWidth="1"/>
    <col min="16134" max="16134" width="16.28515625" style="2" customWidth="1"/>
    <col min="16135" max="16136" width="11.42578125" style="2"/>
    <col min="16137" max="16137" width="11.7109375" style="2" bestFit="1" customWidth="1"/>
    <col min="16138" max="16138" width="12.28515625" style="2" customWidth="1"/>
    <col min="16139" max="16384" width="11.42578125" style="2"/>
  </cols>
  <sheetData>
    <row r="1" spans="1:145" x14ac:dyDescent="0.25">
      <c r="A1" s="3"/>
      <c r="B1" s="3"/>
      <c r="C1" s="3"/>
      <c r="D1" s="3"/>
      <c r="E1" s="34" t="s">
        <v>182</v>
      </c>
      <c r="F1" s="3"/>
      <c r="G1" s="3"/>
      <c r="H1" s="3"/>
    </row>
    <row r="2" spans="1:145" ht="16.5" thickBot="1" x14ac:dyDescent="0.3">
      <c r="C2" s="3"/>
      <c r="D2" s="3"/>
      <c r="F2" s="3"/>
      <c r="G2" s="3"/>
      <c r="H2" s="5"/>
    </row>
    <row r="3" spans="1:145" s="189" customFormat="1" ht="16.5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92" t="s">
        <v>23</v>
      </c>
    </row>
    <row r="4" spans="1:145" s="189" customFormat="1" x14ac:dyDescent="0.25">
      <c r="A4" s="33"/>
      <c r="B4" s="33"/>
      <c r="C4" s="190"/>
      <c r="D4" s="190"/>
      <c r="E4" s="190"/>
      <c r="F4" s="190"/>
      <c r="G4" s="190"/>
      <c r="H4" s="45"/>
    </row>
    <row r="5" spans="1:145" x14ac:dyDescent="0.25">
      <c r="A5" s="141" t="s">
        <v>197</v>
      </c>
      <c r="B5" s="142" t="s">
        <v>5</v>
      </c>
    </row>
    <row r="6" spans="1:145" x14ac:dyDescent="0.25">
      <c r="A6" s="140" t="s">
        <v>198</v>
      </c>
      <c r="B6" s="121"/>
      <c r="D6" s="97">
        <v>0</v>
      </c>
      <c r="E6" s="97"/>
      <c r="F6" s="97"/>
      <c r="G6" s="97">
        <v>54400</v>
      </c>
      <c r="H6" s="86">
        <f>SUM(C6:G6)</f>
        <v>54400</v>
      </c>
    </row>
    <row r="7" spans="1:145" x14ac:dyDescent="0.25">
      <c r="A7" s="143" t="s">
        <v>196</v>
      </c>
      <c r="B7" s="141"/>
      <c r="D7" s="148">
        <f>SUM(D6:D6)</f>
        <v>0</v>
      </c>
      <c r="E7" s="148">
        <f>SUM(E6:E6)</f>
        <v>0</v>
      </c>
      <c r="F7" s="148">
        <f>SUM(F6:F6)</f>
        <v>0</v>
      </c>
      <c r="G7" s="148">
        <f>SUM(G6:G6)</f>
        <v>54400</v>
      </c>
      <c r="H7" s="148">
        <f>SUM(H6:H6)</f>
        <v>54400</v>
      </c>
    </row>
    <row r="8" spans="1:145" x14ac:dyDescent="0.25">
      <c r="A8" s="3"/>
      <c r="B8" s="3"/>
      <c r="D8" s="3"/>
      <c r="E8" s="3"/>
      <c r="F8" s="3"/>
      <c r="G8" s="144"/>
      <c r="H8" s="3"/>
    </row>
    <row r="9" spans="1:145" s="71" customFormat="1" x14ac:dyDescent="0.25">
      <c r="A9" s="33" t="s">
        <v>199</v>
      </c>
      <c r="B9" s="33" t="s">
        <v>5</v>
      </c>
      <c r="D9" s="45" t="s">
        <v>184</v>
      </c>
      <c r="E9" s="45" t="s">
        <v>185</v>
      </c>
      <c r="F9" s="45" t="s">
        <v>186</v>
      </c>
      <c r="G9" s="45" t="s">
        <v>187</v>
      </c>
      <c r="H9" s="45"/>
    </row>
    <row r="10" spans="1:145" s="71" customFormat="1" x14ac:dyDescent="0.25">
      <c r="A10" s="167"/>
      <c r="B10" s="145">
        <v>10000</v>
      </c>
      <c r="C10" s="147"/>
      <c r="D10" s="147"/>
      <c r="E10" s="147"/>
      <c r="F10" s="147"/>
      <c r="G10" s="147"/>
      <c r="H10" s="56">
        <f>SUM(D10:G10)</f>
        <v>0</v>
      </c>
    </row>
    <row r="11" spans="1:145" s="73" customFormat="1" x14ac:dyDescent="0.25">
      <c r="A11" s="35" t="s">
        <v>205</v>
      </c>
      <c r="B11" s="56"/>
      <c r="D11" s="105">
        <v>7609.0441100000007</v>
      </c>
      <c r="E11" s="105">
        <v>9544.9826900000007</v>
      </c>
      <c r="F11" s="105">
        <v>1977.54</v>
      </c>
      <c r="G11" s="105">
        <v>0</v>
      </c>
      <c r="H11" s="105"/>
      <c r="K11" s="105"/>
      <c r="L11" s="105"/>
      <c r="M11" s="105"/>
      <c r="EO11" s="137"/>
    </row>
    <row r="12" spans="1:145" s="73" customFormat="1" x14ac:dyDescent="0.25">
      <c r="A12" s="35" t="s">
        <v>136</v>
      </c>
      <c r="B12" s="56">
        <f>+'MANO DE OBRA'!C28</f>
        <v>6102</v>
      </c>
      <c r="D12" s="105">
        <v>3051</v>
      </c>
      <c r="E12" s="105">
        <v>3051</v>
      </c>
      <c r="F12" s="105">
        <v>0</v>
      </c>
      <c r="G12" s="105">
        <v>0</v>
      </c>
      <c r="H12" s="105">
        <f t="shared" ref="H12:H17" si="0">SUM(D12:G12)</f>
        <v>6102</v>
      </c>
      <c r="K12" s="177"/>
      <c r="L12" s="177"/>
      <c r="M12" s="177"/>
      <c r="EO12" s="137"/>
    </row>
    <row r="13" spans="1:145" s="73" customFormat="1" x14ac:dyDescent="0.25">
      <c r="A13" s="35" t="s">
        <v>137</v>
      </c>
      <c r="B13" s="56">
        <f>+LOGISTICA!B30</f>
        <v>2327.1</v>
      </c>
      <c r="D13" s="105">
        <v>1163.55</v>
      </c>
      <c r="E13" s="105">
        <v>1163.55</v>
      </c>
      <c r="F13" s="105">
        <v>0</v>
      </c>
      <c r="G13" s="105">
        <v>0</v>
      </c>
      <c r="H13" s="105">
        <f t="shared" si="0"/>
        <v>2327.1</v>
      </c>
      <c r="EO13" s="137"/>
    </row>
    <row r="14" spans="1:145" s="67" customFormat="1" x14ac:dyDescent="0.25">
      <c r="A14" s="35" t="s">
        <v>200</v>
      </c>
      <c r="B14" s="56">
        <f>SUM(B11:B13)</f>
        <v>8429.1</v>
      </c>
      <c r="D14" s="171">
        <f>SUM(D11:D13)</f>
        <v>11823.59411</v>
      </c>
      <c r="E14" s="171">
        <f>SUM(E11:E13)</f>
        <v>13759.53269</v>
      </c>
      <c r="F14" s="171">
        <f>SUM(F11:F13)</f>
        <v>1977.54</v>
      </c>
      <c r="G14" s="171">
        <f>SUM(G11:G13)</f>
        <v>0</v>
      </c>
      <c r="H14" s="171">
        <f t="shared" si="0"/>
        <v>27560.666799999999</v>
      </c>
      <c r="EO14" s="137"/>
    </row>
    <row r="15" spans="1:145" s="67" customFormat="1" x14ac:dyDescent="0.25">
      <c r="A15" s="35" t="s">
        <v>201</v>
      </c>
      <c r="B15" s="105"/>
      <c r="C15" s="166">
        <v>0.1</v>
      </c>
      <c r="D15" s="105">
        <f>+$C$15*D11</f>
        <v>760.9044110000001</v>
      </c>
      <c r="E15" s="105">
        <f t="shared" ref="E15:F15" si="1">+$C$15*E11</f>
        <v>954.49826900000016</v>
      </c>
      <c r="F15" s="105">
        <f t="shared" si="1"/>
        <v>197.75400000000002</v>
      </c>
      <c r="G15" s="105">
        <f>+$C$15*G11</f>
        <v>0</v>
      </c>
      <c r="H15" s="105">
        <f t="shared" si="0"/>
        <v>1913.1566800000001</v>
      </c>
      <c r="EO15" s="137"/>
    </row>
    <row r="16" spans="1:145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880.91489647000003</v>
      </c>
      <c r="E16" s="105">
        <f t="shared" ref="E16:F16" si="2">(+E14+E15)*$C$16</f>
        <v>1029.9821671300001</v>
      </c>
      <c r="F16" s="105">
        <f t="shared" si="2"/>
        <v>152.27058</v>
      </c>
      <c r="G16" s="105">
        <f>(+G14+G15)*0.07</f>
        <v>0</v>
      </c>
      <c r="H16" s="105">
        <f t="shared" si="0"/>
        <v>2063.1676436000002</v>
      </c>
      <c r="EO16" s="137"/>
    </row>
    <row r="17" spans="1:145" s="67" customFormat="1" x14ac:dyDescent="0.25">
      <c r="A17" s="35" t="s">
        <v>89</v>
      </c>
      <c r="B17" s="105"/>
      <c r="C17" s="166">
        <v>0.12</v>
      </c>
      <c r="D17" s="105">
        <f>(+D14+D15)*$C$17</f>
        <v>1510.1398225199998</v>
      </c>
      <c r="E17" s="105">
        <f t="shared" ref="E17:F17" si="3">(+E14+E15)*$C$17</f>
        <v>1765.68371508</v>
      </c>
      <c r="F17" s="105">
        <f t="shared" si="3"/>
        <v>261.03528</v>
      </c>
      <c r="G17" s="105"/>
      <c r="H17" s="105">
        <f t="shared" si="0"/>
        <v>3536.8588175999998</v>
      </c>
      <c r="EO17" s="137"/>
    </row>
    <row r="18" spans="1:145" s="67" customFormat="1" x14ac:dyDescent="0.25">
      <c r="A18" s="143" t="s">
        <v>181</v>
      </c>
      <c r="B18" s="141"/>
      <c r="D18" s="148">
        <f>SUM(D14:D17)+D10</f>
        <v>14975.553239989998</v>
      </c>
      <c r="E18" s="148">
        <f>SUM(E14:E17)+E10</f>
        <v>17509.69684121</v>
      </c>
      <c r="F18" s="148">
        <f>SUM(F14:F17)+F10</f>
        <v>2588.5998599999998</v>
      </c>
      <c r="G18" s="148">
        <f>SUM(G14:G17)+G10</f>
        <v>0</v>
      </c>
      <c r="H18" s="148">
        <f>SUM(H14:H17)+H10</f>
        <v>35073.849941200002</v>
      </c>
      <c r="EO18" s="137"/>
    </row>
    <row r="19" spans="1:145" s="67" customFormat="1" x14ac:dyDescent="0.25">
      <c r="A19" s="143"/>
      <c r="B19" s="141"/>
      <c r="D19" s="148"/>
      <c r="E19" s="148"/>
      <c r="F19" s="148"/>
      <c r="G19" s="148"/>
      <c r="H19" s="148"/>
      <c r="EO19" s="137"/>
    </row>
    <row r="20" spans="1:145" s="73" customFormat="1" x14ac:dyDescent="0.25">
      <c r="A20" s="140" t="s">
        <v>232</v>
      </c>
      <c r="B20" s="121"/>
      <c r="D20" s="130">
        <f>+D7-D18</f>
        <v>-14975.553239989998</v>
      </c>
      <c r="E20" s="130">
        <f>+E7-E18</f>
        <v>-17509.69684121</v>
      </c>
      <c r="F20" s="130">
        <f>+F7-F18</f>
        <v>-2588.5998599999998</v>
      </c>
      <c r="G20" s="130">
        <f>+G7-G18</f>
        <v>54400</v>
      </c>
      <c r="H20" s="130"/>
      <c r="I20" s="139"/>
    </row>
    <row r="21" spans="1:145" s="73" customFormat="1" x14ac:dyDescent="0.25">
      <c r="A21" s="140" t="s">
        <v>210</v>
      </c>
      <c r="B21" s="121"/>
      <c r="D21" s="130">
        <v>0</v>
      </c>
      <c r="E21" s="130">
        <v>0</v>
      </c>
      <c r="F21" s="130">
        <v>0</v>
      </c>
      <c r="G21" s="130">
        <v>3142.91</v>
      </c>
      <c r="H21" s="130"/>
      <c r="I21" s="139" t="s">
        <v>256</v>
      </c>
    </row>
    <row r="22" spans="1:145" s="73" customFormat="1" x14ac:dyDescent="0.25">
      <c r="A22" s="140" t="s">
        <v>233</v>
      </c>
      <c r="B22" s="121"/>
      <c r="D22" s="130">
        <f>+D20-D21</f>
        <v>-14975.553239989998</v>
      </c>
      <c r="E22" s="130">
        <f t="shared" ref="E22:G22" si="4">+E20-E21</f>
        <v>-17509.69684121</v>
      </c>
      <c r="F22" s="130">
        <f t="shared" si="4"/>
        <v>-2588.5998599999998</v>
      </c>
      <c r="G22" s="130">
        <f t="shared" si="4"/>
        <v>51257.09</v>
      </c>
      <c r="H22" s="130"/>
      <c r="I22" s="139"/>
    </row>
    <row r="23" spans="1:145" s="73" customFormat="1" x14ac:dyDescent="0.25">
      <c r="A23" s="140" t="s">
        <v>239</v>
      </c>
      <c r="B23" s="121"/>
      <c r="C23" s="101">
        <v>-10000</v>
      </c>
      <c r="D23" s="130"/>
      <c r="E23" s="130"/>
      <c r="F23" s="130"/>
      <c r="G23" s="130"/>
      <c r="H23" s="130"/>
      <c r="I23" s="139"/>
    </row>
    <row r="24" spans="1:145" ht="16.5" thickBot="1" x14ac:dyDescent="0.3">
      <c r="A24" s="150" t="s">
        <v>240</v>
      </c>
      <c r="B24" s="150"/>
      <c r="C24" s="153">
        <f>SUM(C22:C23)</f>
        <v>-10000</v>
      </c>
      <c r="D24" s="153">
        <f>+D22</f>
        <v>-14975.553239989998</v>
      </c>
      <c r="E24" s="153">
        <f t="shared" ref="E24:H24" si="5">+E22</f>
        <v>-17509.69684121</v>
      </c>
      <c r="F24" s="153">
        <f t="shared" si="5"/>
        <v>-2588.5998599999998</v>
      </c>
      <c r="G24" s="153">
        <f t="shared" si="5"/>
        <v>51257.09</v>
      </c>
      <c r="H24" s="153">
        <f t="shared" si="5"/>
        <v>0</v>
      </c>
      <c r="J24" s="104"/>
    </row>
    <row r="25" spans="1:145" x14ac:dyDescent="0.25">
      <c r="A25" s="2" t="s">
        <v>195</v>
      </c>
      <c r="C25" s="121"/>
      <c r="D25" s="121"/>
      <c r="E25" s="36"/>
      <c r="F25" s="36"/>
      <c r="G25" s="36"/>
      <c r="H25" s="3"/>
      <c r="J25" s="104"/>
    </row>
    <row r="26" spans="1:145" x14ac:dyDescent="0.25">
      <c r="C26" s="121"/>
      <c r="D26" s="121"/>
      <c r="E26" s="36"/>
      <c r="F26" s="36"/>
      <c r="G26" s="36"/>
      <c r="H26" s="3"/>
      <c r="J26" s="104"/>
    </row>
    <row r="27" spans="1:145" x14ac:dyDescent="0.25">
      <c r="C27" s="121" t="s">
        <v>252</v>
      </c>
      <c r="D27" s="121"/>
      <c r="E27" s="36"/>
      <c r="F27" s="36"/>
      <c r="G27" s="36"/>
      <c r="H27" s="3"/>
      <c r="J27" s="104"/>
    </row>
    <row r="28" spans="1:145" ht="16.5" thickBot="1" x14ac:dyDescent="0.3">
      <c r="A28" s="150"/>
      <c r="B28" s="150"/>
      <c r="C28" s="5"/>
      <c r="D28" s="151"/>
      <c r="E28" s="152"/>
      <c r="F28" s="152"/>
      <c r="G28" s="152"/>
      <c r="H28" s="5"/>
      <c r="J28" s="104"/>
    </row>
    <row r="29" spans="1:145" ht="16.5" thickBot="1" x14ac:dyDescent="0.3">
      <c r="A29" s="170"/>
      <c r="B29" s="170"/>
      <c r="C29" s="169" t="s">
        <v>202</v>
      </c>
      <c r="D29" s="191" t="s">
        <v>184</v>
      </c>
      <c r="E29" s="191" t="s">
        <v>185</v>
      </c>
      <c r="F29" s="191" t="s">
        <v>186</v>
      </c>
      <c r="G29" s="191" t="s">
        <v>187</v>
      </c>
      <c r="H29" s="192"/>
      <c r="J29" s="104"/>
    </row>
    <row r="30" spans="1:145" x14ac:dyDescent="0.25">
      <c r="A30" s="140" t="s">
        <v>240</v>
      </c>
      <c r="B30" s="140"/>
      <c r="C30" s="130">
        <f t="shared" ref="C30:H30" si="6">+C24</f>
        <v>-10000</v>
      </c>
      <c r="D30" s="130">
        <f t="shared" si="6"/>
        <v>-14975.553239989998</v>
      </c>
      <c r="E30" s="130">
        <f t="shared" si="6"/>
        <v>-17509.69684121</v>
      </c>
      <c r="F30" s="130">
        <f t="shared" si="6"/>
        <v>-2588.5998599999998</v>
      </c>
      <c r="G30" s="130">
        <f t="shared" si="6"/>
        <v>51257.09</v>
      </c>
      <c r="H30" s="130">
        <f t="shared" si="6"/>
        <v>0</v>
      </c>
      <c r="J30" s="104"/>
      <c r="K30" s="203"/>
    </row>
    <row r="31" spans="1:145" x14ac:dyDescent="0.25">
      <c r="A31" s="3" t="s">
        <v>188</v>
      </c>
      <c r="B31" s="3"/>
      <c r="C31" s="146">
        <f>IRR(C30:G30)</f>
        <v>4.809912245314063E-2</v>
      </c>
      <c r="D31" s="3"/>
      <c r="E31" s="3"/>
      <c r="F31" s="3"/>
      <c r="G31" s="36"/>
      <c r="H31" s="3"/>
      <c r="J31" s="104"/>
      <c r="K31" s="203"/>
    </row>
    <row r="32" spans="1:145" x14ac:dyDescent="0.25">
      <c r="A32" s="3" t="s">
        <v>189</v>
      </c>
      <c r="B32" s="3"/>
      <c r="C32" s="47">
        <f>+C31*12</f>
        <v>0.57718946943768756</v>
      </c>
      <c r="D32" s="3"/>
      <c r="E32" s="3"/>
      <c r="F32" s="3"/>
      <c r="G32" s="121"/>
      <c r="H32" s="3"/>
      <c r="J32" s="104"/>
    </row>
    <row r="33" spans="1:10" x14ac:dyDescent="0.25">
      <c r="A33" s="3" t="s">
        <v>253</v>
      </c>
      <c r="B33" s="3"/>
      <c r="C33" s="188">
        <f>NPV(0.18/12,D30:G30)+C30</f>
        <v>4067.8672527931594</v>
      </c>
      <c r="D33" s="1"/>
      <c r="E33" s="1"/>
      <c r="F33" s="1"/>
      <c r="G33" s="1"/>
      <c r="H33" s="1"/>
      <c r="J33" s="104"/>
    </row>
    <row r="34" spans="1:10" ht="16.5" thickBot="1" x14ac:dyDescent="0.3">
      <c r="A34" s="5" t="s">
        <v>243</v>
      </c>
      <c r="B34" s="5"/>
      <c r="C34" s="154">
        <f>NPV(+C32/12,D30:G30)+C30</f>
        <v>-6.6102074924856424E-9</v>
      </c>
      <c r="D34" s="193"/>
      <c r="E34" s="193"/>
      <c r="F34" s="193"/>
      <c r="G34" s="193"/>
      <c r="H34" s="193"/>
      <c r="J34" s="104"/>
    </row>
    <row r="35" spans="1:10" x14ac:dyDescent="0.25">
      <c r="A35" s="2" t="s">
        <v>195</v>
      </c>
      <c r="D35" s="1"/>
      <c r="E35" s="1"/>
      <c r="F35" s="1"/>
      <c r="G35" s="1"/>
      <c r="H35" s="1"/>
      <c r="J35" s="104"/>
    </row>
    <row r="36" spans="1:10" x14ac:dyDescent="0.25">
      <c r="D36" s="1"/>
      <c r="E36" s="1"/>
      <c r="F36" s="1"/>
      <c r="G36" s="1"/>
      <c r="H36" s="1"/>
      <c r="J36" s="104"/>
    </row>
    <row r="37" spans="1:10" ht="16.5" thickBot="1" x14ac:dyDescent="0.3">
      <c r="A37" s="5"/>
      <c r="B37" s="5"/>
      <c r="C37" s="151" t="s">
        <v>247</v>
      </c>
      <c r="D37" s="151"/>
      <c r="E37" s="152"/>
      <c r="F37" s="152"/>
      <c r="G37" s="152"/>
      <c r="H37" s="5"/>
      <c r="J37" s="104"/>
    </row>
    <row r="38" spans="1:10" ht="16.5" thickBot="1" x14ac:dyDescent="0.3">
      <c r="A38" s="170"/>
      <c r="B38" s="170"/>
      <c r="C38" s="169" t="s">
        <v>202</v>
      </c>
      <c r="D38" s="194" t="s">
        <v>184</v>
      </c>
      <c r="E38" s="194" t="s">
        <v>185</v>
      </c>
      <c r="F38" s="194" t="s">
        <v>186</v>
      </c>
      <c r="G38" s="194" t="s">
        <v>187</v>
      </c>
      <c r="H38" s="194"/>
      <c r="J38" s="104"/>
    </row>
    <row r="39" spans="1:10" x14ac:dyDescent="0.25">
      <c r="A39" s="140" t="s">
        <v>241</v>
      </c>
      <c r="B39" s="140"/>
      <c r="C39" s="122">
        <f>+C24</f>
        <v>-10000</v>
      </c>
      <c r="D39" s="122">
        <f t="shared" ref="D39:F39" si="7">+D24</f>
        <v>-14975.553239989998</v>
      </c>
      <c r="E39" s="122">
        <f t="shared" si="7"/>
        <v>-17509.69684121</v>
      </c>
      <c r="F39" s="122">
        <f t="shared" si="7"/>
        <v>-2588.5998599999998</v>
      </c>
      <c r="G39" s="122">
        <f>+G24</f>
        <v>51257.09</v>
      </c>
      <c r="H39" s="3"/>
      <c r="J39" s="104"/>
    </row>
    <row r="40" spans="1:10" x14ac:dyDescent="0.25">
      <c r="A40" s="140" t="s">
        <v>246</v>
      </c>
      <c r="B40" s="140"/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3"/>
      <c r="J40" s="104"/>
    </row>
    <row r="41" spans="1:10" ht="16.5" thickBot="1" x14ac:dyDescent="0.3">
      <c r="A41" s="150" t="s">
        <v>242</v>
      </c>
      <c r="B41" s="150"/>
      <c r="C41" s="201">
        <f>+C39-C40</f>
        <v>-10000</v>
      </c>
      <c r="D41" s="201">
        <f t="shared" ref="D41:G41" si="8">+D39-D40</f>
        <v>-14975.553239989998</v>
      </c>
      <c r="E41" s="201">
        <f t="shared" si="8"/>
        <v>-17509.69684121</v>
      </c>
      <c r="F41" s="201">
        <f t="shared" si="8"/>
        <v>-2588.5998599999998</v>
      </c>
      <c r="G41" s="201">
        <f t="shared" si="8"/>
        <v>51257.09</v>
      </c>
      <c r="H41" s="5"/>
      <c r="J41" s="104"/>
    </row>
    <row r="42" spans="1:10" x14ac:dyDescent="0.25">
      <c r="A42" s="2" t="s">
        <v>195</v>
      </c>
      <c r="D42" s="1"/>
      <c r="E42" s="1"/>
      <c r="F42" s="1"/>
      <c r="G42" s="1"/>
      <c r="H42" s="1"/>
      <c r="J42" s="104"/>
    </row>
    <row r="43" spans="1:10" x14ac:dyDescent="0.25">
      <c r="A43" s="3"/>
      <c r="B43" s="3"/>
      <c r="C43" s="121"/>
      <c r="D43" s="121"/>
      <c r="E43" s="36"/>
      <c r="F43" s="36"/>
      <c r="G43" s="36"/>
      <c r="H43" s="3"/>
      <c r="J43" s="104"/>
    </row>
    <row r="44" spans="1:10" x14ac:dyDescent="0.25">
      <c r="A44" s="2" t="s">
        <v>228</v>
      </c>
      <c r="C44" s="2" t="s">
        <v>249</v>
      </c>
      <c r="E44" s="36"/>
      <c r="F44" s="36"/>
      <c r="G44" s="36"/>
      <c r="H44" s="3"/>
      <c r="J44" s="104"/>
    </row>
    <row r="45" spans="1:10" x14ac:dyDescent="0.25">
      <c r="C45" s="2" t="s">
        <v>250</v>
      </c>
      <c r="E45" s="36"/>
      <c r="F45" s="36"/>
      <c r="G45" s="36"/>
      <c r="H45" s="3"/>
      <c r="J45" s="104"/>
    </row>
    <row r="46" spans="1:10" x14ac:dyDescent="0.25">
      <c r="C46" s="2" t="s">
        <v>251</v>
      </c>
      <c r="E46" s="36"/>
      <c r="F46" s="36"/>
      <c r="G46" s="36"/>
      <c r="H46" s="3"/>
      <c r="J46" s="104"/>
    </row>
    <row r="47" spans="1:10" ht="16.5" hidden="1" thickBot="1" x14ac:dyDescent="0.3">
      <c r="A47" s="5"/>
      <c r="B47" s="5"/>
      <c r="C47" s="151"/>
      <c r="D47" s="151"/>
      <c r="E47" s="152"/>
      <c r="F47" s="152"/>
      <c r="G47" s="152"/>
      <c r="H47" s="5"/>
      <c r="J47" s="104"/>
    </row>
    <row r="48" spans="1:10" ht="16.5" hidden="1" thickBot="1" x14ac:dyDescent="0.3">
      <c r="A48" s="170"/>
      <c r="B48" s="170"/>
      <c r="C48" s="169" t="s">
        <v>202</v>
      </c>
      <c r="D48" s="194" t="s">
        <v>184</v>
      </c>
      <c r="E48" s="194" t="s">
        <v>185</v>
      </c>
      <c r="F48" s="194" t="s">
        <v>186</v>
      </c>
      <c r="G48" s="194" t="s">
        <v>187</v>
      </c>
      <c r="H48" s="194"/>
      <c r="J48" s="104"/>
    </row>
    <row r="49" spans="1:10" hidden="1" x14ac:dyDescent="0.25">
      <c r="A49" s="140" t="s">
        <v>209</v>
      </c>
      <c r="B49" s="140"/>
      <c r="C49" s="121">
        <v>-15073.85</v>
      </c>
      <c r="D49" s="121">
        <v>-14975.553239989998</v>
      </c>
      <c r="E49" s="36">
        <v>-17509.69684121</v>
      </c>
      <c r="F49" s="36">
        <v>-2588.5998599999998</v>
      </c>
      <c r="G49" s="36">
        <v>56330.939999999995</v>
      </c>
      <c r="H49" s="3"/>
      <c r="J49" s="104"/>
    </row>
    <row r="50" spans="1:10" hidden="1" x14ac:dyDescent="0.25">
      <c r="A50" s="140" t="s">
        <v>237</v>
      </c>
      <c r="B50" s="140"/>
      <c r="C50" s="122">
        <v>-5073.8500000000004</v>
      </c>
      <c r="D50" s="121">
        <v>-4975.55</v>
      </c>
      <c r="E50" s="36">
        <v>-7509.7</v>
      </c>
      <c r="F50" s="36">
        <v>-588.6</v>
      </c>
      <c r="G50" s="36">
        <f>+G49-G51</f>
        <v>23654.770413806578</v>
      </c>
      <c r="H50" s="3"/>
      <c r="J50" s="104"/>
    </row>
    <row r="51" spans="1:10" hidden="1" x14ac:dyDescent="0.25">
      <c r="A51" s="140" t="s">
        <v>244</v>
      </c>
      <c r="B51" s="140"/>
      <c r="C51" s="122">
        <v>-10000</v>
      </c>
      <c r="D51" s="121">
        <v>-10000</v>
      </c>
      <c r="E51" s="36">
        <v>-10000</v>
      </c>
      <c r="F51" s="36">
        <v>-2000</v>
      </c>
      <c r="G51" s="36">
        <f>SUM(F53:F56)</f>
        <v>32676.169586193417</v>
      </c>
      <c r="H51" s="3"/>
      <c r="J51" s="104"/>
    </row>
    <row r="52" spans="1:10" hidden="1" x14ac:dyDescent="0.25">
      <c r="A52" s="140"/>
      <c r="B52" s="140"/>
      <c r="C52" s="195"/>
      <c r="D52" s="121"/>
      <c r="E52" s="36"/>
      <c r="F52" s="36"/>
      <c r="G52" s="36"/>
      <c r="H52" s="3"/>
      <c r="J52" s="104"/>
    </row>
    <row r="53" spans="1:10" hidden="1" x14ac:dyDescent="0.25">
      <c r="A53" s="140"/>
      <c r="B53" s="140"/>
      <c r="C53" s="195"/>
      <c r="D53" s="121"/>
      <c r="E53" s="36"/>
      <c r="F53" s="36">
        <f>FV(8.75%/12,4,,C51)</f>
        <v>10294.872306552936</v>
      </c>
      <c r="G53" s="36"/>
      <c r="H53" s="3"/>
      <c r="J53" s="104"/>
    </row>
    <row r="54" spans="1:10" hidden="1" x14ac:dyDescent="0.25">
      <c r="A54" s="140"/>
      <c r="B54" s="140"/>
      <c r="C54" s="196">
        <f>NPV(35%/12,D50:G50)+C50</f>
        <v>3546.6760745773809</v>
      </c>
      <c r="D54" s="121"/>
      <c r="E54" s="36"/>
      <c r="F54" s="36">
        <f>FV(8.75%/12,3,,D51)</f>
        <v>10220.348928946038</v>
      </c>
      <c r="G54" s="36"/>
      <c r="H54" s="3"/>
      <c r="J54" s="104"/>
    </row>
    <row r="55" spans="1:10" hidden="1" x14ac:dyDescent="0.25">
      <c r="A55" s="140"/>
      <c r="B55" s="140"/>
      <c r="C55" s="195"/>
      <c r="D55" s="121"/>
      <c r="E55" s="36"/>
      <c r="F55" s="36">
        <f>FV(8.75%/12,2,,E51)</f>
        <v>10146.365017361111</v>
      </c>
      <c r="G55" s="36"/>
      <c r="H55" s="3"/>
      <c r="J55" s="104"/>
    </row>
    <row r="56" spans="1:10" hidden="1" x14ac:dyDescent="0.25">
      <c r="A56" s="140"/>
      <c r="B56" s="140"/>
      <c r="C56" s="195"/>
      <c r="D56" s="121"/>
      <c r="E56" s="36"/>
      <c r="F56" s="36">
        <f>FV(8.75%/12,1,,F51)</f>
        <v>2014.5833333333335</v>
      </c>
      <c r="G56" s="36"/>
      <c r="H56" s="3"/>
      <c r="J56" s="104"/>
    </row>
    <row r="57" spans="1:10" hidden="1" x14ac:dyDescent="0.25"/>
    <row r="58" spans="1:10" hidden="1" x14ac:dyDescent="0.25">
      <c r="C58" s="2">
        <v>0</v>
      </c>
      <c r="D58" s="2">
        <v>1</v>
      </c>
      <c r="E58" s="2">
        <v>2</v>
      </c>
      <c r="F58" s="2">
        <v>3</v>
      </c>
      <c r="G58" s="2">
        <v>4</v>
      </c>
    </row>
    <row r="59" spans="1:10" hidden="1" x14ac:dyDescent="0.25">
      <c r="C59" s="197">
        <v>-10000</v>
      </c>
      <c r="D59" s="197">
        <v>-14975.553239989998</v>
      </c>
      <c r="E59" s="197">
        <v>-17509.69684121</v>
      </c>
      <c r="F59" s="197">
        <v>-2588.5998599999998</v>
      </c>
      <c r="G59" s="197">
        <v>51257.09</v>
      </c>
      <c r="J59" s="129"/>
    </row>
    <row r="60" spans="1:10" hidden="1" x14ac:dyDescent="0.25">
      <c r="D60" s="2">
        <f>+C61*(1+$C$32/12)</f>
        <v>-10480.991224531406</v>
      </c>
      <c r="E60" s="2">
        <f t="shared" ref="E60:G60" si="9">+D61*(1+$C$32/12)</f>
        <v>-26680.981913954238</v>
      </c>
      <c r="F60" s="2">
        <f t="shared" si="9"/>
        <v>-46316.211623896277</v>
      </c>
      <c r="G60" s="2">
        <f t="shared" si="9"/>
        <v>-51257.090000007964</v>
      </c>
    </row>
    <row r="61" spans="1:10" hidden="1" x14ac:dyDescent="0.25">
      <c r="C61" s="12">
        <f>+C59+C60</f>
        <v>-10000</v>
      </c>
      <c r="D61" s="12">
        <f>+D59+D60</f>
        <v>-25456.544464521405</v>
      </c>
      <c r="E61" s="12">
        <f t="shared" ref="E61:G61" si="10">+E59+E60</f>
        <v>-44190.678755164234</v>
      </c>
      <c r="F61" s="12">
        <f t="shared" si="10"/>
        <v>-48904.811483896279</v>
      </c>
      <c r="G61" s="12">
        <f t="shared" si="10"/>
        <v>-7.9671735875308514E-9</v>
      </c>
    </row>
    <row r="72" spans="6:10" x14ac:dyDescent="0.25">
      <c r="F72" s="129"/>
    </row>
    <row r="73" spans="6:10" x14ac:dyDescent="0.25">
      <c r="F73" s="129"/>
    </row>
    <row r="74" spans="6:10" x14ac:dyDescent="0.25">
      <c r="F74" s="129"/>
    </row>
    <row r="75" spans="6:10" x14ac:dyDescent="0.25">
      <c r="F75" s="129"/>
    </row>
    <row r="76" spans="6:10" x14ac:dyDescent="0.25">
      <c r="F76" s="129"/>
    </row>
    <row r="77" spans="6:10" x14ac:dyDescent="0.25">
      <c r="J77" s="129"/>
    </row>
    <row r="78" spans="6:10" x14ac:dyDescent="0.25">
      <c r="J78" s="129"/>
    </row>
    <row r="79" spans="6:10" x14ac:dyDescent="0.25">
      <c r="J79" s="129"/>
    </row>
    <row r="80" spans="6:10" x14ac:dyDescent="0.25">
      <c r="J80" s="129"/>
    </row>
    <row r="81" spans="10:10" x14ac:dyDescent="0.25">
      <c r="J81" s="1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82"/>
  <sheetViews>
    <sheetView topLeftCell="A13" workbookViewId="0">
      <selection activeCell="K30" sqref="K30"/>
    </sheetView>
  </sheetViews>
  <sheetFormatPr baseColWidth="10" defaultRowHeight="15.75" x14ac:dyDescent="0.25"/>
  <cols>
    <col min="1" max="1" width="30.28515625" style="2" customWidth="1"/>
    <col min="2" max="2" width="19.42578125" style="2" hidden="1" customWidth="1"/>
    <col min="3" max="3" width="15.140625" style="2" customWidth="1"/>
    <col min="4" max="4" width="18.7109375" style="2" customWidth="1"/>
    <col min="5" max="5" width="21.28515625" style="2" customWidth="1"/>
    <col min="6" max="6" width="14.42578125" style="2" customWidth="1"/>
    <col min="7" max="7" width="12.42578125" style="2" customWidth="1"/>
    <col min="8" max="8" width="1.85546875" style="2" customWidth="1"/>
    <col min="9" max="9" width="13.7109375" style="2" bestFit="1" customWidth="1"/>
    <col min="10" max="10" width="12.28515625" style="2" customWidth="1"/>
    <col min="11" max="12" width="13" style="2" customWidth="1"/>
    <col min="13" max="13" width="13.42578125" style="2" customWidth="1"/>
    <col min="14" max="241" width="11.42578125" style="2"/>
    <col min="242" max="242" width="32.42578125" style="2" customWidth="1"/>
    <col min="243" max="243" width="13.28515625" style="2" customWidth="1"/>
    <col min="244" max="244" width="11.85546875" style="2" customWidth="1"/>
    <col min="245" max="245" width="13.140625" style="2" customWidth="1"/>
    <col min="246" max="246" width="14.42578125" style="2" customWidth="1"/>
    <col min="247" max="247" width="12.85546875" style="2" customWidth="1"/>
    <col min="248" max="253" width="12.28515625" style="2" bestFit="1" customWidth="1"/>
    <col min="254" max="261" width="13.85546875" style="2" bestFit="1" customWidth="1"/>
    <col min="262" max="262" width="16.28515625" style="2" customWidth="1"/>
    <col min="263" max="264" width="11.42578125" style="2"/>
    <col min="265" max="265" width="11.7109375" style="2" bestFit="1" customWidth="1"/>
    <col min="266" max="266" width="12.28515625" style="2" customWidth="1"/>
    <col min="267" max="497" width="11.42578125" style="2"/>
    <col min="498" max="498" width="32.42578125" style="2" customWidth="1"/>
    <col min="499" max="499" width="13.28515625" style="2" customWidth="1"/>
    <col min="500" max="500" width="11.85546875" style="2" customWidth="1"/>
    <col min="501" max="501" width="13.140625" style="2" customWidth="1"/>
    <col min="502" max="502" width="14.42578125" style="2" customWidth="1"/>
    <col min="503" max="503" width="12.85546875" style="2" customWidth="1"/>
    <col min="504" max="509" width="12.28515625" style="2" bestFit="1" customWidth="1"/>
    <col min="510" max="517" width="13.85546875" style="2" bestFit="1" customWidth="1"/>
    <col min="518" max="518" width="16.28515625" style="2" customWidth="1"/>
    <col min="519" max="520" width="11.42578125" style="2"/>
    <col min="521" max="521" width="11.7109375" style="2" bestFit="1" customWidth="1"/>
    <col min="522" max="522" width="12.28515625" style="2" customWidth="1"/>
    <col min="523" max="753" width="11.42578125" style="2"/>
    <col min="754" max="754" width="32.42578125" style="2" customWidth="1"/>
    <col min="755" max="755" width="13.28515625" style="2" customWidth="1"/>
    <col min="756" max="756" width="11.85546875" style="2" customWidth="1"/>
    <col min="757" max="757" width="13.140625" style="2" customWidth="1"/>
    <col min="758" max="758" width="14.42578125" style="2" customWidth="1"/>
    <col min="759" max="759" width="12.85546875" style="2" customWidth="1"/>
    <col min="760" max="765" width="12.28515625" style="2" bestFit="1" customWidth="1"/>
    <col min="766" max="773" width="13.85546875" style="2" bestFit="1" customWidth="1"/>
    <col min="774" max="774" width="16.28515625" style="2" customWidth="1"/>
    <col min="775" max="776" width="11.42578125" style="2"/>
    <col min="777" max="777" width="11.7109375" style="2" bestFit="1" customWidth="1"/>
    <col min="778" max="778" width="12.28515625" style="2" customWidth="1"/>
    <col min="779" max="1009" width="11.42578125" style="2"/>
    <col min="1010" max="1010" width="32.42578125" style="2" customWidth="1"/>
    <col min="1011" max="1011" width="13.28515625" style="2" customWidth="1"/>
    <col min="1012" max="1012" width="11.85546875" style="2" customWidth="1"/>
    <col min="1013" max="1013" width="13.140625" style="2" customWidth="1"/>
    <col min="1014" max="1014" width="14.42578125" style="2" customWidth="1"/>
    <col min="1015" max="1015" width="12.85546875" style="2" customWidth="1"/>
    <col min="1016" max="1021" width="12.28515625" style="2" bestFit="1" customWidth="1"/>
    <col min="1022" max="1029" width="13.85546875" style="2" bestFit="1" customWidth="1"/>
    <col min="1030" max="1030" width="16.28515625" style="2" customWidth="1"/>
    <col min="1031" max="1032" width="11.42578125" style="2"/>
    <col min="1033" max="1033" width="11.7109375" style="2" bestFit="1" customWidth="1"/>
    <col min="1034" max="1034" width="12.28515625" style="2" customWidth="1"/>
    <col min="1035" max="1265" width="11.42578125" style="2"/>
    <col min="1266" max="1266" width="32.42578125" style="2" customWidth="1"/>
    <col min="1267" max="1267" width="13.28515625" style="2" customWidth="1"/>
    <col min="1268" max="1268" width="11.85546875" style="2" customWidth="1"/>
    <col min="1269" max="1269" width="13.140625" style="2" customWidth="1"/>
    <col min="1270" max="1270" width="14.42578125" style="2" customWidth="1"/>
    <col min="1271" max="1271" width="12.85546875" style="2" customWidth="1"/>
    <col min="1272" max="1277" width="12.28515625" style="2" bestFit="1" customWidth="1"/>
    <col min="1278" max="1285" width="13.85546875" style="2" bestFit="1" customWidth="1"/>
    <col min="1286" max="1286" width="16.28515625" style="2" customWidth="1"/>
    <col min="1287" max="1288" width="11.42578125" style="2"/>
    <col min="1289" max="1289" width="11.7109375" style="2" bestFit="1" customWidth="1"/>
    <col min="1290" max="1290" width="12.28515625" style="2" customWidth="1"/>
    <col min="1291" max="1521" width="11.42578125" style="2"/>
    <col min="1522" max="1522" width="32.42578125" style="2" customWidth="1"/>
    <col min="1523" max="1523" width="13.28515625" style="2" customWidth="1"/>
    <col min="1524" max="1524" width="11.85546875" style="2" customWidth="1"/>
    <col min="1525" max="1525" width="13.140625" style="2" customWidth="1"/>
    <col min="1526" max="1526" width="14.42578125" style="2" customWidth="1"/>
    <col min="1527" max="1527" width="12.85546875" style="2" customWidth="1"/>
    <col min="1528" max="1533" width="12.28515625" style="2" bestFit="1" customWidth="1"/>
    <col min="1534" max="1541" width="13.85546875" style="2" bestFit="1" customWidth="1"/>
    <col min="1542" max="1542" width="16.28515625" style="2" customWidth="1"/>
    <col min="1543" max="1544" width="11.42578125" style="2"/>
    <col min="1545" max="1545" width="11.7109375" style="2" bestFit="1" customWidth="1"/>
    <col min="1546" max="1546" width="12.28515625" style="2" customWidth="1"/>
    <col min="1547" max="1777" width="11.42578125" style="2"/>
    <col min="1778" max="1778" width="32.42578125" style="2" customWidth="1"/>
    <col min="1779" max="1779" width="13.28515625" style="2" customWidth="1"/>
    <col min="1780" max="1780" width="11.85546875" style="2" customWidth="1"/>
    <col min="1781" max="1781" width="13.140625" style="2" customWidth="1"/>
    <col min="1782" max="1782" width="14.42578125" style="2" customWidth="1"/>
    <col min="1783" max="1783" width="12.85546875" style="2" customWidth="1"/>
    <col min="1784" max="1789" width="12.28515625" style="2" bestFit="1" customWidth="1"/>
    <col min="1790" max="1797" width="13.85546875" style="2" bestFit="1" customWidth="1"/>
    <col min="1798" max="1798" width="16.28515625" style="2" customWidth="1"/>
    <col min="1799" max="1800" width="11.42578125" style="2"/>
    <col min="1801" max="1801" width="11.7109375" style="2" bestFit="1" customWidth="1"/>
    <col min="1802" max="1802" width="12.28515625" style="2" customWidth="1"/>
    <col min="1803" max="2033" width="11.42578125" style="2"/>
    <col min="2034" max="2034" width="32.42578125" style="2" customWidth="1"/>
    <col min="2035" max="2035" width="13.28515625" style="2" customWidth="1"/>
    <col min="2036" max="2036" width="11.85546875" style="2" customWidth="1"/>
    <col min="2037" max="2037" width="13.140625" style="2" customWidth="1"/>
    <col min="2038" max="2038" width="14.42578125" style="2" customWidth="1"/>
    <col min="2039" max="2039" width="12.85546875" style="2" customWidth="1"/>
    <col min="2040" max="2045" width="12.28515625" style="2" bestFit="1" customWidth="1"/>
    <col min="2046" max="2053" width="13.85546875" style="2" bestFit="1" customWidth="1"/>
    <col min="2054" max="2054" width="16.28515625" style="2" customWidth="1"/>
    <col min="2055" max="2056" width="11.42578125" style="2"/>
    <col min="2057" max="2057" width="11.7109375" style="2" bestFit="1" customWidth="1"/>
    <col min="2058" max="2058" width="12.28515625" style="2" customWidth="1"/>
    <col min="2059" max="2289" width="11.42578125" style="2"/>
    <col min="2290" max="2290" width="32.42578125" style="2" customWidth="1"/>
    <col min="2291" max="2291" width="13.28515625" style="2" customWidth="1"/>
    <col min="2292" max="2292" width="11.85546875" style="2" customWidth="1"/>
    <col min="2293" max="2293" width="13.140625" style="2" customWidth="1"/>
    <col min="2294" max="2294" width="14.42578125" style="2" customWidth="1"/>
    <col min="2295" max="2295" width="12.85546875" style="2" customWidth="1"/>
    <col min="2296" max="2301" width="12.28515625" style="2" bestFit="1" customWidth="1"/>
    <col min="2302" max="2309" width="13.85546875" style="2" bestFit="1" customWidth="1"/>
    <col min="2310" max="2310" width="16.28515625" style="2" customWidth="1"/>
    <col min="2311" max="2312" width="11.42578125" style="2"/>
    <col min="2313" max="2313" width="11.7109375" style="2" bestFit="1" customWidth="1"/>
    <col min="2314" max="2314" width="12.28515625" style="2" customWidth="1"/>
    <col min="2315" max="2545" width="11.42578125" style="2"/>
    <col min="2546" max="2546" width="32.42578125" style="2" customWidth="1"/>
    <col min="2547" max="2547" width="13.28515625" style="2" customWidth="1"/>
    <col min="2548" max="2548" width="11.85546875" style="2" customWidth="1"/>
    <col min="2549" max="2549" width="13.140625" style="2" customWidth="1"/>
    <col min="2550" max="2550" width="14.42578125" style="2" customWidth="1"/>
    <col min="2551" max="2551" width="12.85546875" style="2" customWidth="1"/>
    <col min="2552" max="2557" width="12.28515625" style="2" bestFit="1" customWidth="1"/>
    <col min="2558" max="2565" width="13.85546875" style="2" bestFit="1" customWidth="1"/>
    <col min="2566" max="2566" width="16.28515625" style="2" customWidth="1"/>
    <col min="2567" max="2568" width="11.42578125" style="2"/>
    <col min="2569" max="2569" width="11.7109375" style="2" bestFit="1" customWidth="1"/>
    <col min="2570" max="2570" width="12.28515625" style="2" customWidth="1"/>
    <col min="2571" max="2801" width="11.42578125" style="2"/>
    <col min="2802" max="2802" width="32.42578125" style="2" customWidth="1"/>
    <col min="2803" max="2803" width="13.28515625" style="2" customWidth="1"/>
    <col min="2804" max="2804" width="11.85546875" style="2" customWidth="1"/>
    <col min="2805" max="2805" width="13.140625" style="2" customWidth="1"/>
    <col min="2806" max="2806" width="14.42578125" style="2" customWidth="1"/>
    <col min="2807" max="2807" width="12.85546875" style="2" customWidth="1"/>
    <col min="2808" max="2813" width="12.28515625" style="2" bestFit="1" customWidth="1"/>
    <col min="2814" max="2821" width="13.85546875" style="2" bestFit="1" customWidth="1"/>
    <col min="2822" max="2822" width="16.28515625" style="2" customWidth="1"/>
    <col min="2823" max="2824" width="11.42578125" style="2"/>
    <col min="2825" max="2825" width="11.7109375" style="2" bestFit="1" customWidth="1"/>
    <col min="2826" max="2826" width="12.28515625" style="2" customWidth="1"/>
    <col min="2827" max="3057" width="11.42578125" style="2"/>
    <col min="3058" max="3058" width="32.42578125" style="2" customWidth="1"/>
    <col min="3059" max="3059" width="13.28515625" style="2" customWidth="1"/>
    <col min="3060" max="3060" width="11.85546875" style="2" customWidth="1"/>
    <col min="3061" max="3061" width="13.140625" style="2" customWidth="1"/>
    <col min="3062" max="3062" width="14.42578125" style="2" customWidth="1"/>
    <col min="3063" max="3063" width="12.85546875" style="2" customWidth="1"/>
    <col min="3064" max="3069" width="12.28515625" style="2" bestFit="1" customWidth="1"/>
    <col min="3070" max="3077" width="13.85546875" style="2" bestFit="1" customWidth="1"/>
    <col min="3078" max="3078" width="16.28515625" style="2" customWidth="1"/>
    <col min="3079" max="3080" width="11.42578125" style="2"/>
    <col min="3081" max="3081" width="11.7109375" style="2" bestFit="1" customWidth="1"/>
    <col min="3082" max="3082" width="12.28515625" style="2" customWidth="1"/>
    <col min="3083" max="3313" width="11.42578125" style="2"/>
    <col min="3314" max="3314" width="32.42578125" style="2" customWidth="1"/>
    <col min="3315" max="3315" width="13.28515625" style="2" customWidth="1"/>
    <col min="3316" max="3316" width="11.85546875" style="2" customWidth="1"/>
    <col min="3317" max="3317" width="13.140625" style="2" customWidth="1"/>
    <col min="3318" max="3318" width="14.42578125" style="2" customWidth="1"/>
    <col min="3319" max="3319" width="12.85546875" style="2" customWidth="1"/>
    <col min="3320" max="3325" width="12.28515625" style="2" bestFit="1" customWidth="1"/>
    <col min="3326" max="3333" width="13.85546875" style="2" bestFit="1" customWidth="1"/>
    <col min="3334" max="3334" width="16.28515625" style="2" customWidth="1"/>
    <col min="3335" max="3336" width="11.42578125" style="2"/>
    <col min="3337" max="3337" width="11.7109375" style="2" bestFit="1" customWidth="1"/>
    <col min="3338" max="3338" width="12.28515625" style="2" customWidth="1"/>
    <col min="3339" max="3569" width="11.42578125" style="2"/>
    <col min="3570" max="3570" width="32.42578125" style="2" customWidth="1"/>
    <col min="3571" max="3571" width="13.28515625" style="2" customWidth="1"/>
    <col min="3572" max="3572" width="11.85546875" style="2" customWidth="1"/>
    <col min="3573" max="3573" width="13.140625" style="2" customWidth="1"/>
    <col min="3574" max="3574" width="14.42578125" style="2" customWidth="1"/>
    <col min="3575" max="3575" width="12.85546875" style="2" customWidth="1"/>
    <col min="3576" max="3581" width="12.28515625" style="2" bestFit="1" customWidth="1"/>
    <col min="3582" max="3589" width="13.85546875" style="2" bestFit="1" customWidth="1"/>
    <col min="3590" max="3590" width="16.28515625" style="2" customWidth="1"/>
    <col min="3591" max="3592" width="11.42578125" style="2"/>
    <col min="3593" max="3593" width="11.7109375" style="2" bestFit="1" customWidth="1"/>
    <col min="3594" max="3594" width="12.28515625" style="2" customWidth="1"/>
    <col min="3595" max="3825" width="11.42578125" style="2"/>
    <col min="3826" max="3826" width="32.42578125" style="2" customWidth="1"/>
    <col min="3827" max="3827" width="13.28515625" style="2" customWidth="1"/>
    <col min="3828" max="3828" width="11.85546875" style="2" customWidth="1"/>
    <col min="3829" max="3829" width="13.140625" style="2" customWidth="1"/>
    <col min="3830" max="3830" width="14.42578125" style="2" customWidth="1"/>
    <col min="3831" max="3831" width="12.85546875" style="2" customWidth="1"/>
    <col min="3832" max="3837" width="12.28515625" style="2" bestFit="1" customWidth="1"/>
    <col min="3838" max="3845" width="13.85546875" style="2" bestFit="1" customWidth="1"/>
    <col min="3846" max="3846" width="16.28515625" style="2" customWidth="1"/>
    <col min="3847" max="3848" width="11.42578125" style="2"/>
    <col min="3849" max="3849" width="11.7109375" style="2" bestFit="1" customWidth="1"/>
    <col min="3850" max="3850" width="12.28515625" style="2" customWidth="1"/>
    <col min="3851" max="4081" width="11.42578125" style="2"/>
    <col min="4082" max="4082" width="32.42578125" style="2" customWidth="1"/>
    <col min="4083" max="4083" width="13.28515625" style="2" customWidth="1"/>
    <col min="4084" max="4084" width="11.85546875" style="2" customWidth="1"/>
    <col min="4085" max="4085" width="13.140625" style="2" customWidth="1"/>
    <col min="4086" max="4086" width="14.42578125" style="2" customWidth="1"/>
    <col min="4087" max="4087" width="12.85546875" style="2" customWidth="1"/>
    <col min="4088" max="4093" width="12.28515625" style="2" bestFit="1" customWidth="1"/>
    <col min="4094" max="4101" width="13.85546875" style="2" bestFit="1" customWidth="1"/>
    <col min="4102" max="4102" width="16.28515625" style="2" customWidth="1"/>
    <col min="4103" max="4104" width="11.42578125" style="2"/>
    <col min="4105" max="4105" width="11.7109375" style="2" bestFit="1" customWidth="1"/>
    <col min="4106" max="4106" width="12.28515625" style="2" customWidth="1"/>
    <col min="4107" max="4337" width="11.42578125" style="2"/>
    <col min="4338" max="4338" width="32.42578125" style="2" customWidth="1"/>
    <col min="4339" max="4339" width="13.28515625" style="2" customWidth="1"/>
    <col min="4340" max="4340" width="11.85546875" style="2" customWidth="1"/>
    <col min="4341" max="4341" width="13.140625" style="2" customWidth="1"/>
    <col min="4342" max="4342" width="14.42578125" style="2" customWidth="1"/>
    <col min="4343" max="4343" width="12.85546875" style="2" customWidth="1"/>
    <col min="4344" max="4349" width="12.28515625" style="2" bestFit="1" customWidth="1"/>
    <col min="4350" max="4357" width="13.85546875" style="2" bestFit="1" customWidth="1"/>
    <col min="4358" max="4358" width="16.28515625" style="2" customWidth="1"/>
    <col min="4359" max="4360" width="11.42578125" style="2"/>
    <col min="4361" max="4361" width="11.7109375" style="2" bestFit="1" customWidth="1"/>
    <col min="4362" max="4362" width="12.28515625" style="2" customWidth="1"/>
    <col min="4363" max="4593" width="11.42578125" style="2"/>
    <col min="4594" max="4594" width="32.42578125" style="2" customWidth="1"/>
    <col min="4595" max="4595" width="13.28515625" style="2" customWidth="1"/>
    <col min="4596" max="4596" width="11.85546875" style="2" customWidth="1"/>
    <col min="4597" max="4597" width="13.140625" style="2" customWidth="1"/>
    <col min="4598" max="4598" width="14.42578125" style="2" customWidth="1"/>
    <col min="4599" max="4599" width="12.85546875" style="2" customWidth="1"/>
    <col min="4600" max="4605" width="12.28515625" style="2" bestFit="1" customWidth="1"/>
    <col min="4606" max="4613" width="13.85546875" style="2" bestFit="1" customWidth="1"/>
    <col min="4614" max="4614" width="16.28515625" style="2" customWidth="1"/>
    <col min="4615" max="4616" width="11.42578125" style="2"/>
    <col min="4617" max="4617" width="11.7109375" style="2" bestFit="1" customWidth="1"/>
    <col min="4618" max="4618" width="12.28515625" style="2" customWidth="1"/>
    <col min="4619" max="4849" width="11.42578125" style="2"/>
    <col min="4850" max="4850" width="32.42578125" style="2" customWidth="1"/>
    <col min="4851" max="4851" width="13.28515625" style="2" customWidth="1"/>
    <col min="4852" max="4852" width="11.85546875" style="2" customWidth="1"/>
    <col min="4853" max="4853" width="13.140625" style="2" customWidth="1"/>
    <col min="4854" max="4854" width="14.42578125" style="2" customWidth="1"/>
    <col min="4855" max="4855" width="12.85546875" style="2" customWidth="1"/>
    <col min="4856" max="4861" width="12.28515625" style="2" bestFit="1" customWidth="1"/>
    <col min="4862" max="4869" width="13.85546875" style="2" bestFit="1" customWidth="1"/>
    <col min="4870" max="4870" width="16.28515625" style="2" customWidth="1"/>
    <col min="4871" max="4872" width="11.42578125" style="2"/>
    <col min="4873" max="4873" width="11.7109375" style="2" bestFit="1" customWidth="1"/>
    <col min="4874" max="4874" width="12.28515625" style="2" customWidth="1"/>
    <col min="4875" max="5105" width="11.42578125" style="2"/>
    <col min="5106" max="5106" width="32.42578125" style="2" customWidth="1"/>
    <col min="5107" max="5107" width="13.28515625" style="2" customWidth="1"/>
    <col min="5108" max="5108" width="11.85546875" style="2" customWidth="1"/>
    <col min="5109" max="5109" width="13.140625" style="2" customWidth="1"/>
    <col min="5110" max="5110" width="14.42578125" style="2" customWidth="1"/>
    <col min="5111" max="5111" width="12.85546875" style="2" customWidth="1"/>
    <col min="5112" max="5117" width="12.28515625" style="2" bestFit="1" customWidth="1"/>
    <col min="5118" max="5125" width="13.85546875" style="2" bestFit="1" customWidth="1"/>
    <col min="5126" max="5126" width="16.28515625" style="2" customWidth="1"/>
    <col min="5127" max="5128" width="11.42578125" style="2"/>
    <col min="5129" max="5129" width="11.7109375" style="2" bestFit="1" customWidth="1"/>
    <col min="5130" max="5130" width="12.28515625" style="2" customWidth="1"/>
    <col min="5131" max="5361" width="11.42578125" style="2"/>
    <col min="5362" max="5362" width="32.42578125" style="2" customWidth="1"/>
    <col min="5363" max="5363" width="13.28515625" style="2" customWidth="1"/>
    <col min="5364" max="5364" width="11.85546875" style="2" customWidth="1"/>
    <col min="5365" max="5365" width="13.140625" style="2" customWidth="1"/>
    <col min="5366" max="5366" width="14.42578125" style="2" customWidth="1"/>
    <col min="5367" max="5367" width="12.85546875" style="2" customWidth="1"/>
    <col min="5368" max="5373" width="12.28515625" style="2" bestFit="1" customWidth="1"/>
    <col min="5374" max="5381" width="13.85546875" style="2" bestFit="1" customWidth="1"/>
    <col min="5382" max="5382" width="16.28515625" style="2" customWidth="1"/>
    <col min="5383" max="5384" width="11.42578125" style="2"/>
    <col min="5385" max="5385" width="11.7109375" style="2" bestFit="1" customWidth="1"/>
    <col min="5386" max="5386" width="12.28515625" style="2" customWidth="1"/>
    <col min="5387" max="5617" width="11.42578125" style="2"/>
    <col min="5618" max="5618" width="32.42578125" style="2" customWidth="1"/>
    <col min="5619" max="5619" width="13.28515625" style="2" customWidth="1"/>
    <col min="5620" max="5620" width="11.85546875" style="2" customWidth="1"/>
    <col min="5621" max="5621" width="13.140625" style="2" customWidth="1"/>
    <col min="5622" max="5622" width="14.42578125" style="2" customWidth="1"/>
    <col min="5623" max="5623" width="12.85546875" style="2" customWidth="1"/>
    <col min="5624" max="5629" width="12.28515625" style="2" bestFit="1" customWidth="1"/>
    <col min="5630" max="5637" width="13.85546875" style="2" bestFit="1" customWidth="1"/>
    <col min="5638" max="5638" width="16.28515625" style="2" customWidth="1"/>
    <col min="5639" max="5640" width="11.42578125" style="2"/>
    <col min="5641" max="5641" width="11.7109375" style="2" bestFit="1" customWidth="1"/>
    <col min="5642" max="5642" width="12.28515625" style="2" customWidth="1"/>
    <col min="5643" max="5873" width="11.42578125" style="2"/>
    <col min="5874" max="5874" width="32.42578125" style="2" customWidth="1"/>
    <col min="5875" max="5875" width="13.28515625" style="2" customWidth="1"/>
    <col min="5876" max="5876" width="11.85546875" style="2" customWidth="1"/>
    <col min="5877" max="5877" width="13.140625" style="2" customWidth="1"/>
    <col min="5878" max="5878" width="14.42578125" style="2" customWidth="1"/>
    <col min="5879" max="5879" width="12.85546875" style="2" customWidth="1"/>
    <col min="5880" max="5885" width="12.28515625" style="2" bestFit="1" customWidth="1"/>
    <col min="5886" max="5893" width="13.85546875" style="2" bestFit="1" customWidth="1"/>
    <col min="5894" max="5894" width="16.28515625" style="2" customWidth="1"/>
    <col min="5895" max="5896" width="11.42578125" style="2"/>
    <col min="5897" max="5897" width="11.7109375" style="2" bestFit="1" customWidth="1"/>
    <col min="5898" max="5898" width="12.28515625" style="2" customWidth="1"/>
    <col min="5899" max="6129" width="11.42578125" style="2"/>
    <col min="6130" max="6130" width="32.42578125" style="2" customWidth="1"/>
    <col min="6131" max="6131" width="13.28515625" style="2" customWidth="1"/>
    <col min="6132" max="6132" width="11.85546875" style="2" customWidth="1"/>
    <col min="6133" max="6133" width="13.140625" style="2" customWidth="1"/>
    <col min="6134" max="6134" width="14.42578125" style="2" customWidth="1"/>
    <col min="6135" max="6135" width="12.85546875" style="2" customWidth="1"/>
    <col min="6136" max="6141" width="12.28515625" style="2" bestFit="1" customWidth="1"/>
    <col min="6142" max="6149" width="13.85546875" style="2" bestFit="1" customWidth="1"/>
    <col min="6150" max="6150" width="16.28515625" style="2" customWidth="1"/>
    <col min="6151" max="6152" width="11.42578125" style="2"/>
    <col min="6153" max="6153" width="11.7109375" style="2" bestFit="1" customWidth="1"/>
    <col min="6154" max="6154" width="12.28515625" style="2" customWidth="1"/>
    <col min="6155" max="6385" width="11.42578125" style="2"/>
    <col min="6386" max="6386" width="32.42578125" style="2" customWidth="1"/>
    <col min="6387" max="6387" width="13.28515625" style="2" customWidth="1"/>
    <col min="6388" max="6388" width="11.85546875" style="2" customWidth="1"/>
    <col min="6389" max="6389" width="13.140625" style="2" customWidth="1"/>
    <col min="6390" max="6390" width="14.42578125" style="2" customWidth="1"/>
    <col min="6391" max="6391" width="12.85546875" style="2" customWidth="1"/>
    <col min="6392" max="6397" width="12.28515625" style="2" bestFit="1" customWidth="1"/>
    <col min="6398" max="6405" width="13.85546875" style="2" bestFit="1" customWidth="1"/>
    <col min="6406" max="6406" width="16.28515625" style="2" customWidth="1"/>
    <col min="6407" max="6408" width="11.42578125" style="2"/>
    <col min="6409" max="6409" width="11.7109375" style="2" bestFit="1" customWidth="1"/>
    <col min="6410" max="6410" width="12.28515625" style="2" customWidth="1"/>
    <col min="6411" max="6641" width="11.42578125" style="2"/>
    <col min="6642" max="6642" width="32.42578125" style="2" customWidth="1"/>
    <col min="6643" max="6643" width="13.28515625" style="2" customWidth="1"/>
    <col min="6644" max="6644" width="11.85546875" style="2" customWidth="1"/>
    <col min="6645" max="6645" width="13.140625" style="2" customWidth="1"/>
    <col min="6646" max="6646" width="14.42578125" style="2" customWidth="1"/>
    <col min="6647" max="6647" width="12.85546875" style="2" customWidth="1"/>
    <col min="6648" max="6653" width="12.28515625" style="2" bestFit="1" customWidth="1"/>
    <col min="6654" max="6661" width="13.85546875" style="2" bestFit="1" customWidth="1"/>
    <col min="6662" max="6662" width="16.28515625" style="2" customWidth="1"/>
    <col min="6663" max="6664" width="11.42578125" style="2"/>
    <col min="6665" max="6665" width="11.7109375" style="2" bestFit="1" customWidth="1"/>
    <col min="6666" max="6666" width="12.28515625" style="2" customWidth="1"/>
    <col min="6667" max="6897" width="11.42578125" style="2"/>
    <col min="6898" max="6898" width="32.42578125" style="2" customWidth="1"/>
    <col min="6899" max="6899" width="13.28515625" style="2" customWidth="1"/>
    <col min="6900" max="6900" width="11.85546875" style="2" customWidth="1"/>
    <col min="6901" max="6901" width="13.140625" style="2" customWidth="1"/>
    <col min="6902" max="6902" width="14.42578125" style="2" customWidth="1"/>
    <col min="6903" max="6903" width="12.85546875" style="2" customWidth="1"/>
    <col min="6904" max="6909" width="12.28515625" style="2" bestFit="1" customWidth="1"/>
    <col min="6910" max="6917" width="13.85546875" style="2" bestFit="1" customWidth="1"/>
    <col min="6918" max="6918" width="16.28515625" style="2" customWidth="1"/>
    <col min="6919" max="6920" width="11.42578125" style="2"/>
    <col min="6921" max="6921" width="11.7109375" style="2" bestFit="1" customWidth="1"/>
    <col min="6922" max="6922" width="12.28515625" style="2" customWidth="1"/>
    <col min="6923" max="7153" width="11.42578125" style="2"/>
    <col min="7154" max="7154" width="32.42578125" style="2" customWidth="1"/>
    <col min="7155" max="7155" width="13.28515625" style="2" customWidth="1"/>
    <col min="7156" max="7156" width="11.85546875" style="2" customWidth="1"/>
    <col min="7157" max="7157" width="13.140625" style="2" customWidth="1"/>
    <col min="7158" max="7158" width="14.42578125" style="2" customWidth="1"/>
    <col min="7159" max="7159" width="12.85546875" style="2" customWidth="1"/>
    <col min="7160" max="7165" width="12.28515625" style="2" bestFit="1" customWidth="1"/>
    <col min="7166" max="7173" width="13.85546875" style="2" bestFit="1" customWidth="1"/>
    <col min="7174" max="7174" width="16.28515625" style="2" customWidth="1"/>
    <col min="7175" max="7176" width="11.42578125" style="2"/>
    <col min="7177" max="7177" width="11.7109375" style="2" bestFit="1" customWidth="1"/>
    <col min="7178" max="7178" width="12.28515625" style="2" customWidth="1"/>
    <col min="7179" max="7409" width="11.42578125" style="2"/>
    <col min="7410" max="7410" width="32.42578125" style="2" customWidth="1"/>
    <col min="7411" max="7411" width="13.28515625" style="2" customWidth="1"/>
    <col min="7412" max="7412" width="11.85546875" style="2" customWidth="1"/>
    <col min="7413" max="7413" width="13.140625" style="2" customWidth="1"/>
    <col min="7414" max="7414" width="14.42578125" style="2" customWidth="1"/>
    <col min="7415" max="7415" width="12.85546875" style="2" customWidth="1"/>
    <col min="7416" max="7421" width="12.28515625" style="2" bestFit="1" customWidth="1"/>
    <col min="7422" max="7429" width="13.85546875" style="2" bestFit="1" customWidth="1"/>
    <col min="7430" max="7430" width="16.28515625" style="2" customWidth="1"/>
    <col min="7431" max="7432" width="11.42578125" style="2"/>
    <col min="7433" max="7433" width="11.7109375" style="2" bestFit="1" customWidth="1"/>
    <col min="7434" max="7434" width="12.28515625" style="2" customWidth="1"/>
    <col min="7435" max="7665" width="11.42578125" style="2"/>
    <col min="7666" max="7666" width="32.42578125" style="2" customWidth="1"/>
    <col min="7667" max="7667" width="13.28515625" style="2" customWidth="1"/>
    <col min="7668" max="7668" width="11.85546875" style="2" customWidth="1"/>
    <col min="7669" max="7669" width="13.140625" style="2" customWidth="1"/>
    <col min="7670" max="7670" width="14.42578125" style="2" customWidth="1"/>
    <col min="7671" max="7671" width="12.85546875" style="2" customWidth="1"/>
    <col min="7672" max="7677" width="12.28515625" style="2" bestFit="1" customWidth="1"/>
    <col min="7678" max="7685" width="13.85546875" style="2" bestFit="1" customWidth="1"/>
    <col min="7686" max="7686" width="16.28515625" style="2" customWidth="1"/>
    <col min="7687" max="7688" width="11.42578125" style="2"/>
    <col min="7689" max="7689" width="11.7109375" style="2" bestFit="1" customWidth="1"/>
    <col min="7690" max="7690" width="12.28515625" style="2" customWidth="1"/>
    <col min="7691" max="7921" width="11.42578125" style="2"/>
    <col min="7922" max="7922" width="32.42578125" style="2" customWidth="1"/>
    <col min="7923" max="7923" width="13.28515625" style="2" customWidth="1"/>
    <col min="7924" max="7924" width="11.85546875" style="2" customWidth="1"/>
    <col min="7925" max="7925" width="13.140625" style="2" customWidth="1"/>
    <col min="7926" max="7926" width="14.42578125" style="2" customWidth="1"/>
    <col min="7927" max="7927" width="12.85546875" style="2" customWidth="1"/>
    <col min="7928" max="7933" width="12.28515625" style="2" bestFit="1" customWidth="1"/>
    <col min="7934" max="7941" width="13.85546875" style="2" bestFit="1" customWidth="1"/>
    <col min="7942" max="7942" width="16.28515625" style="2" customWidth="1"/>
    <col min="7943" max="7944" width="11.42578125" style="2"/>
    <col min="7945" max="7945" width="11.7109375" style="2" bestFit="1" customWidth="1"/>
    <col min="7946" max="7946" width="12.28515625" style="2" customWidth="1"/>
    <col min="7947" max="8177" width="11.42578125" style="2"/>
    <col min="8178" max="8178" width="32.42578125" style="2" customWidth="1"/>
    <col min="8179" max="8179" width="13.28515625" style="2" customWidth="1"/>
    <col min="8180" max="8180" width="11.85546875" style="2" customWidth="1"/>
    <col min="8181" max="8181" width="13.140625" style="2" customWidth="1"/>
    <col min="8182" max="8182" width="14.42578125" style="2" customWidth="1"/>
    <col min="8183" max="8183" width="12.85546875" style="2" customWidth="1"/>
    <col min="8184" max="8189" width="12.28515625" style="2" bestFit="1" customWidth="1"/>
    <col min="8190" max="8197" width="13.85546875" style="2" bestFit="1" customWidth="1"/>
    <col min="8198" max="8198" width="16.28515625" style="2" customWidth="1"/>
    <col min="8199" max="8200" width="11.42578125" style="2"/>
    <col min="8201" max="8201" width="11.7109375" style="2" bestFit="1" customWidth="1"/>
    <col min="8202" max="8202" width="12.28515625" style="2" customWidth="1"/>
    <col min="8203" max="8433" width="11.42578125" style="2"/>
    <col min="8434" max="8434" width="32.42578125" style="2" customWidth="1"/>
    <col min="8435" max="8435" width="13.28515625" style="2" customWidth="1"/>
    <col min="8436" max="8436" width="11.85546875" style="2" customWidth="1"/>
    <col min="8437" max="8437" width="13.140625" style="2" customWidth="1"/>
    <col min="8438" max="8438" width="14.42578125" style="2" customWidth="1"/>
    <col min="8439" max="8439" width="12.85546875" style="2" customWidth="1"/>
    <col min="8440" max="8445" width="12.28515625" style="2" bestFit="1" customWidth="1"/>
    <col min="8446" max="8453" width="13.85546875" style="2" bestFit="1" customWidth="1"/>
    <col min="8454" max="8454" width="16.28515625" style="2" customWidth="1"/>
    <col min="8455" max="8456" width="11.42578125" style="2"/>
    <col min="8457" max="8457" width="11.7109375" style="2" bestFit="1" customWidth="1"/>
    <col min="8458" max="8458" width="12.28515625" style="2" customWidth="1"/>
    <col min="8459" max="8689" width="11.42578125" style="2"/>
    <col min="8690" max="8690" width="32.42578125" style="2" customWidth="1"/>
    <col min="8691" max="8691" width="13.28515625" style="2" customWidth="1"/>
    <col min="8692" max="8692" width="11.85546875" style="2" customWidth="1"/>
    <col min="8693" max="8693" width="13.140625" style="2" customWidth="1"/>
    <col min="8694" max="8694" width="14.42578125" style="2" customWidth="1"/>
    <col min="8695" max="8695" width="12.85546875" style="2" customWidth="1"/>
    <col min="8696" max="8701" width="12.28515625" style="2" bestFit="1" customWidth="1"/>
    <col min="8702" max="8709" width="13.85546875" style="2" bestFit="1" customWidth="1"/>
    <col min="8710" max="8710" width="16.28515625" style="2" customWidth="1"/>
    <col min="8711" max="8712" width="11.42578125" style="2"/>
    <col min="8713" max="8713" width="11.7109375" style="2" bestFit="1" customWidth="1"/>
    <col min="8714" max="8714" width="12.28515625" style="2" customWidth="1"/>
    <col min="8715" max="8945" width="11.42578125" style="2"/>
    <col min="8946" max="8946" width="32.42578125" style="2" customWidth="1"/>
    <col min="8947" max="8947" width="13.28515625" style="2" customWidth="1"/>
    <col min="8948" max="8948" width="11.85546875" style="2" customWidth="1"/>
    <col min="8949" max="8949" width="13.140625" style="2" customWidth="1"/>
    <col min="8950" max="8950" width="14.42578125" style="2" customWidth="1"/>
    <col min="8951" max="8951" width="12.85546875" style="2" customWidth="1"/>
    <col min="8952" max="8957" width="12.28515625" style="2" bestFit="1" customWidth="1"/>
    <col min="8958" max="8965" width="13.85546875" style="2" bestFit="1" customWidth="1"/>
    <col min="8966" max="8966" width="16.28515625" style="2" customWidth="1"/>
    <col min="8967" max="8968" width="11.42578125" style="2"/>
    <col min="8969" max="8969" width="11.7109375" style="2" bestFit="1" customWidth="1"/>
    <col min="8970" max="8970" width="12.28515625" style="2" customWidth="1"/>
    <col min="8971" max="9201" width="11.42578125" style="2"/>
    <col min="9202" max="9202" width="32.42578125" style="2" customWidth="1"/>
    <col min="9203" max="9203" width="13.28515625" style="2" customWidth="1"/>
    <col min="9204" max="9204" width="11.85546875" style="2" customWidth="1"/>
    <col min="9205" max="9205" width="13.140625" style="2" customWidth="1"/>
    <col min="9206" max="9206" width="14.42578125" style="2" customWidth="1"/>
    <col min="9207" max="9207" width="12.85546875" style="2" customWidth="1"/>
    <col min="9208" max="9213" width="12.28515625" style="2" bestFit="1" customWidth="1"/>
    <col min="9214" max="9221" width="13.85546875" style="2" bestFit="1" customWidth="1"/>
    <col min="9222" max="9222" width="16.28515625" style="2" customWidth="1"/>
    <col min="9223" max="9224" width="11.42578125" style="2"/>
    <col min="9225" max="9225" width="11.7109375" style="2" bestFit="1" customWidth="1"/>
    <col min="9226" max="9226" width="12.28515625" style="2" customWidth="1"/>
    <col min="9227" max="9457" width="11.42578125" style="2"/>
    <col min="9458" max="9458" width="32.42578125" style="2" customWidth="1"/>
    <col min="9459" max="9459" width="13.28515625" style="2" customWidth="1"/>
    <col min="9460" max="9460" width="11.85546875" style="2" customWidth="1"/>
    <col min="9461" max="9461" width="13.140625" style="2" customWidth="1"/>
    <col min="9462" max="9462" width="14.42578125" style="2" customWidth="1"/>
    <col min="9463" max="9463" width="12.85546875" style="2" customWidth="1"/>
    <col min="9464" max="9469" width="12.28515625" style="2" bestFit="1" customWidth="1"/>
    <col min="9470" max="9477" width="13.85546875" style="2" bestFit="1" customWidth="1"/>
    <col min="9478" max="9478" width="16.28515625" style="2" customWidth="1"/>
    <col min="9479" max="9480" width="11.42578125" style="2"/>
    <col min="9481" max="9481" width="11.7109375" style="2" bestFit="1" customWidth="1"/>
    <col min="9482" max="9482" width="12.28515625" style="2" customWidth="1"/>
    <col min="9483" max="9713" width="11.42578125" style="2"/>
    <col min="9714" max="9714" width="32.42578125" style="2" customWidth="1"/>
    <col min="9715" max="9715" width="13.28515625" style="2" customWidth="1"/>
    <col min="9716" max="9716" width="11.85546875" style="2" customWidth="1"/>
    <col min="9717" max="9717" width="13.140625" style="2" customWidth="1"/>
    <col min="9718" max="9718" width="14.42578125" style="2" customWidth="1"/>
    <col min="9719" max="9719" width="12.85546875" style="2" customWidth="1"/>
    <col min="9720" max="9725" width="12.28515625" style="2" bestFit="1" customWidth="1"/>
    <col min="9726" max="9733" width="13.85546875" style="2" bestFit="1" customWidth="1"/>
    <col min="9734" max="9734" width="16.28515625" style="2" customWidth="1"/>
    <col min="9735" max="9736" width="11.42578125" style="2"/>
    <col min="9737" max="9737" width="11.7109375" style="2" bestFit="1" customWidth="1"/>
    <col min="9738" max="9738" width="12.28515625" style="2" customWidth="1"/>
    <col min="9739" max="9969" width="11.42578125" style="2"/>
    <col min="9970" max="9970" width="32.42578125" style="2" customWidth="1"/>
    <col min="9971" max="9971" width="13.28515625" style="2" customWidth="1"/>
    <col min="9972" max="9972" width="11.85546875" style="2" customWidth="1"/>
    <col min="9973" max="9973" width="13.140625" style="2" customWidth="1"/>
    <col min="9974" max="9974" width="14.42578125" style="2" customWidth="1"/>
    <col min="9975" max="9975" width="12.85546875" style="2" customWidth="1"/>
    <col min="9976" max="9981" width="12.28515625" style="2" bestFit="1" customWidth="1"/>
    <col min="9982" max="9989" width="13.85546875" style="2" bestFit="1" customWidth="1"/>
    <col min="9990" max="9990" width="16.28515625" style="2" customWidth="1"/>
    <col min="9991" max="9992" width="11.42578125" style="2"/>
    <col min="9993" max="9993" width="11.7109375" style="2" bestFit="1" customWidth="1"/>
    <col min="9994" max="9994" width="12.28515625" style="2" customWidth="1"/>
    <col min="9995" max="10225" width="11.42578125" style="2"/>
    <col min="10226" max="10226" width="32.42578125" style="2" customWidth="1"/>
    <col min="10227" max="10227" width="13.28515625" style="2" customWidth="1"/>
    <col min="10228" max="10228" width="11.85546875" style="2" customWidth="1"/>
    <col min="10229" max="10229" width="13.140625" style="2" customWidth="1"/>
    <col min="10230" max="10230" width="14.42578125" style="2" customWidth="1"/>
    <col min="10231" max="10231" width="12.85546875" style="2" customWidth="1"/>
    <col min="10232" max="10237" width="12.28515625" style="2" bestFit="1" customWidth="1"/>
    <col min="10238" max="10245" width="13.85546875" style="2" bestFit="1" customWidth="1"/>
    <col min="10246" max="10246" width="16.28515625" style="2" customWidth="1"/>
    <col min="10247" max="10248" width="11.42578125" style="2"/>
    <col min="10249" max="10249" width="11.7109375" style="2" bestFit="1" customWidth="1"/>
    <col min="10250" max="10250" width="12.28515625" style="2" customWidth="1"/>
    <col min="10251" max="10481" width="11.42578125" style="2"/>
    <col min="10482" max="10482" width="32.42578125" style="2" customWidth="1"/>
    <col min="10483" max="10483" width="13.28515625" style="2" customWidth="1"/>
    <col min="10484" max="10484" width="11.85546875" style="2" customWidth="1"/>
    <col min="10485" max="10485" width="13.140625" style="2" customWidth="1"/>
    <col min="10486" max="10486" width="14.42578125" style="2" customWidth="1"/>
    <col min="10487" max="10487" width="12.85546875" style="2" customWidth="1"/>
    <col min="10488" max="10493" width="12.28515625" style="2" bestFit="1" customWidth="1"/>
    <col min="10494" max="10501" width="13.85546875" style="2" bestFit="1" customWidth="1"/>
    <col min="10502" max="10502" width="16.28515625" style="2" customWidth="1"/>
    <col min="10503" max="10504" width="11.42578125" style="2"/>
    <col min="10505" max="10505" width="11.7109375" style="2" bestFit="1" customWidth="1"/>
    <col min="10506" max="10506" width="12.28515625" style="2" customWidth="1"/>
    <col min="10507" max="10737" width="11.42578125" style="2"/>
    <col min="10738" max="10738" width="32.42578125" style="2" customWidth="1"/>
    <col min="10739" max="10739" width="13.28515625" style="2" customWidth="1"/>
    <col min="10740" max="10740" width="11.85546875" style="2" customWidth="1"/>
    <col min="10741" max="10741" width="13.140625" style="2" customWidth="1"/>
    <col min="10742" max="10742" width="14.42578125" style="2" customWidth="1"/>
    <col min="10743" max="10743" width="12.85546875" style="2" customWidth="1"/>
    <col min="10744" max="10749" width="12.28515625" style="2" bestFit="1" customWidth="1"/>
    <col min="10750" max="10757" width="13.85546875" style="2" bestFit="1" customWidth="1"/>
    <col min="10758" max="10758" width="16.28515625" style="2" customWidth="1"/>
    <col min="10759" max="10760" width="11.42578125" style="2"/>
    <col min="10761" max="10761" width="11.7109375" style="2" bestFit="1" customWidth="1"/>
    <col min="10762" max="10762" width="12.28515625" style="2" customWidth="1"/>
    <col min="10763" max="10993" width="11.42578125" style="2"/>
    <col min="10994" max="10994" width="32.42578125" style="2" customWidth="1"/>
    <col min="10995" max="10995" width="13.28515625" style="2" customWidth="1"/>
    <col min="10996" max="10996" width="11.85546875" style="2" customWidth="1"/>
    <col min="10997" max="10997" width="13.140625" style="2" customWidth="1"/>
    <col min="10998" max="10998" width="14.42578125" style="2" customWidth="1"/>
    <col min="10999" max="10999" width="12.85546875" style="2" customWidth="1"/>
    <col min="11000" max="11005" width="12.28515625" style="2" bestFit="1" customWidth="1"/>
    <col min="11006" max="11013" width="13.85546875" style="2" bestFit="1" customWidth="1"/>
    <col min="11014" max="11014" width="16.28515625" style="2" customWidth="1"/>
    <col min="11015" max="11016" width="11.42578125" style="2"/>
    <col min="11017" max="11017" width="11.7109375" style="2" bestFit="1" customWidth="1"/>
    <col min="11018" max="11018" width="12.28515625" style="2" customWidth="1"/>
    <col min="11019" max="11249" width="11.42578125" style="2"/>
    <col min="11250" max="11250" width="32.42578125" style="2" customWidth="1"/>
    <col min="11251" max="11251" width="13.28515625" style="2" customWidth="1"/>
    <col min="11252" max="11252" width="11.85546875" style="2" customWidth="1"/>
    <col min="11253" max="11253" width="13.140625" style="2" customWidth="1"/>
    <col min="11254" max="11254" width="14.42578125" style="2" customWidth="1"/>
    <col min="11255" max="11255" width="12.85546875" style="2" customWidth="1"/>
    <col min="11256" max="11261" width="12.28515625" style="2" bestFit="1" customWidth="1"/>
    <col min="11262" max="11269" width="13.85546875" style="2" bestFit="1" customWidth="1"/>
    <col min="11270" max="11270" width="16.28515625" style="2" customWidth="1"/>
    <col min="11271" max="11272" width="11.42578125" style="2"/>
    <col min="11273" max="11273" width="11.7109375" style="2" bestFit="1" customWidth="1"/>
    <col min="11274" max="11274" width="12.28515625" style="2" customWidth="1"/>
    <col min="11275" max="11505" width="11.42578125" style="2"/>
    <col min="11506" max="11506" width="32.42578125" style="2" customWidth="1"/>
    <col min="11507" max="11507" width="13.28515625" style="2" customWidth="1"/>
    <col min="11508" max="11508" width="11.85546875" style="2" customWidth="1"/>
    <col min="11509" max="11509" width="13.140625" style="2" customWidth="1"/>
    <col min="11510" max="11510" width="14.42578125" style="2" customWidth="1"/>
    <col min="11511" max="11511" width="12.85546875" style="2" customWidth="1"/>
    <col min="11512" max="11517" width="12.28515625" style="2" bestFit="1" customWidth="1"/>
    <col min="11518" max="11525" width="13.85546875" style="2" bestFit="1" customWidth="1"/>
    <col min="11526" max="11526" width="16.28515625" style="2" customWidth="1"/>
    <col min="11527" max="11528" width="11.42578125" style="2"/>
    <col min="11529" max="11529" width="11.7109375" style="2" bestFit="1" customWidth="1"/>
    <col min="11530" max="11530" width="12.28515625" style="2" customWidth="1"/>
    <col min="11531" max="11761" width="11.42578125" style="2"/>
    <col min="11762" max="11762" width="32.42578125" style="2" customWidth="1"/>
    <col min="11763" max="11763" width="13.28515625" style="2" customWidth="1"/>
    <col min="11764" max="11764" width="11.85546875" style="2" customWidth="1"/>
    <col min="11765" max="11765" width="13.140625" style="2" customWidth="1"/>
    <col min="11766" max="11766" width="14.42578125" style="2" customWidth="1"/>
    <col min="11767" max="11767" width="12.85546875" style="2" customWidth="1"/>
    <col min="11768" max="11773" width="12.28515625" style="2" bestFit="1" customWidth="1"/>
    <col min="11774" max="11781" width="13.85546875" style="2" bestFit="1" customWidth="1"/>
    <col min="11782" max="11782" width="16.28515625" style="2" customWidth="1"/>
    <col min="11783" max="11784" width="11.42578125" style="2"/>
    <col min="11785" max="11785" width="11.7109375" style="2" bestFit="1" customWidth="1"/>
    <col min="11786" max="11786" width="12.28515625" style="2" customWidth="1"/>
    <col min="11787" max="12017" width="11.42578125" style="2"/>
    <col min="12018" max="12018" width="32.42578125" style="2" customWidth="1"/>
    <col min="12019" max="12019" width="13.28515625" style="2" customWidth="1"/>
    <col min="12020" max="12020" width="11.85546875" style="2" customWidth="1"/>
    <col min="12021" max="12021" width="13.140625" style="2" customWidth="1"/>
    <col min="12022" max="12022" width="14.42578125" style="2" customWidth="1"/>
    <col min="12023" max="12023" width="12.85546875" style="2" customWidth="1"/>
    <col min="12024" max="12029" width="12.28515625" style="2" bestFit="1" customWidth="1"/>
    <col min="12030" max="12037" width="13.85546875" style="2" bestFit="1" customWidth="1"/>
    <col min="12038" max="12038" width="16.28515625" style="2" customWidth="1"/>
    <col min="12039" max="12040" width="11.42578125" style="2"/>
    <col min="12041" max="12041" width="11.7109375" style="2" bestFit="1" customWidth="1"/>
    <col min="12042" max="12042" width="12.28515625" style="2" customWidth="1"/>
    <col min="12043" max="12273" width="11.42578125" style="2"/>
    <col min="12274" max="12274" width="32.42578125" style="2" customWidth="1"/>
    <col min="12275" max="12275" width="13.28515625" style="2" customWidth="1"/>
    <col min="12276" max="12276" width="11.85546875" style="2" customWidth="1"/>
    <col min="12277" max="12277" width="13.140625" style="2" customWidth="1"/>
    <col min="12278" max="12278" width="14.42578125" style="2" customWidth="1"/>
    <col min="12279" max="12279" width="12.85546875" style="2" customWidth="1"/>
    <col min="12280" max="12285" width="12.28515625" style="2" bestFit="1" customWidth="1"/>
    <col min="12286" max="12293" width="13.85546875" style="2" bestFit="1" customWidth="1"/>
    <col min="12294" max="12294" width="16.28515625" style="2" customWidth="1"/>
    <col min="12295" max="12296" width="11.42578125" style="2"/>
    <col min="12297" max="12297" width="11.7109375" style="2" bestFit="1" customWidth="1"/>
    <col min="12298" max="12298" width="12.28515625" style="2" customWidth="1"/>
    <col min="12299" max="12529" width="11.42578125" style="2"/>
    <col min="12530" max="12530" width="32.42578125" style="2" customWidth="1"/>
    <col min="12531" max="12531" width="13.28515625" style="2" customWidth="1"/>
    <col min="12532" max="12532" width="11.85546875" style="2" customWidth="1"/>
    <col min="12533" max="12533" width="13.140625" style="2" customWidth="1"/>
    <col min="12534" max="12534" width="14.42578125" style="2" customWidth="1"/>
    <col min="12535" max="12535" width="12.85546875" style="2" customWidth="1"/>
    <col min="12536" max="12541" width="12.28515625" style="2" bestFit="1" customWidth="1"/>
    <col min="12542" max="12549" width="13.85546875" style="2" bestFit="1" customWidth="1"/>
    <col min="12550" max="12550" width="16.28515625" style="2" customWidth="1"/>
    <col min="12551" max="12552" width="11.42578125" style="2"/>
    <col min="12553" max="12553" width="11.7109375" style="2" bestFit="1" customWidth="1"/>
    <col min="12554" max="12554" width="12.28515625" style="2" customWidth="1"/>
    <col min="12555" max="12785" width="11.42578125" style="2"/>
    <col min="12786" max="12786" width="32.42578125" style="2" customWidth="1"/>
    <col min="12787" max="12787" width="13.28515625" style="2" customWidth="1"/>
    <col min="12788" max="12788" width="11.85546875" style="2" customWidth="1"/>
    <col min="12789" max="12789" width="13.140625" style="2" customWidth="1"/>
    <col min="12790" max="12790" width="14.42578125" style="2" customWidth="1"/>
    <col min="12791" max="12791" width="12.85546875" style="2" customWidth="1"/>
    <col min="12792" max="12797" width="12.28515625" style="2" bestFit="1" customWidth="1"/>
    <col min="12798" max="12805" width="13.85546875" style="2" bestFit="1" customWidth="1"/>
    <col min="12806" max="12806" width="16.28515625" style="2" customWidth="1"/>
    <col min="12807" max="12808" width="11.42578125" style="2"/>
    <col min="12809" max="12809" width="11.7109375" style="2" bestFit="1" customWidth="1"/>
    <col min="12810" max="12810" width="12.28515625" style="2" customWidth="1"/>
    <col min="12811" max="13041" width="11.42578125" style="2"/>
    <col min="13042" max="13042" width="32.42578125" style="2" customWidth="1"/>
    <col min="13043" max="13043" width="13.28515625" style="2" customWidth="1"/>
    <col min="13044" max="13044" width="11.85546875" style="2" customWidth="1"/>
    <col min="13045" max="13045" width="13.140625" style="2" customWidth="1"/>
    <col min="13046" max="13046" width="14.42578125" style="2" customWidth="1"/>
    <col min="13047" max="13047" width="12.85546875" style="2" customWidth="1"/>
    <col min="13048" max="13053" width="12.28515625" style="2" bestFit="1" customWidth="1"/>
    <col min="13054" max="13061" width="13.85546875" style="2" bestFit="1" customWidth="1"/>
    <col min="13062" max="13062" width="16.28515625" style="2" customWidth="1"/>
    <col min="13063" max="13064" width="11.42578125" style="2"/>
    <col min="13065" max="13065" width="11.7109375" style="2" bestFit="1" customWidth="1"/>
    <col min="13066" max="13066" width="12.28515625" style="2" customWidth="1"/>
    <col min="13067" max="13297" width="11.42578125" style="2"/>
    <col min="13298" max="13298" width="32.42578125" style="2" customWidth="1"/>
    <col min="13299" max="13299" width="13.28515625" style="2" customWidth="1"/>
    <col min="13300" max="13300" width="11.85546875" style="2" customWidth="1"/>
    <col min="13301" max="13301" width="13.140625" style="2" customWidth="1"/>
    <col min="13302" max="13302" width="14.42578125" style="2" customWidth="1"/>
    <col min="13303" max="13303" width="12.85546875" style="2" customWidth="1"/>
    <col min="13304" max="13309" width="12.28515625" style="2" bestFit="1" customWidth="1"/>
    <col min="13310" max="13317" width="13.85546875" style="2" bestFit="1" customWidth="1"/>
    <col min="13318" max="13318" width="16.28515625" style="2" customWidth="1"/>
    <col min="13319" max="13320" width="11.42578125" style="2"/>
    <col min="13321" max="13321" width="11.7109375" style="2" bestFit="1" customWidth="1"/>
    <col min="13322" max="13322" width="12.28515625" style="2" customWidth="1"/>
    <col min="13323" max="13553" width="11.42578125" style="2"/>
    <col min="13554" max="13554" width="32.42578125" style="2" customWidth="1"/>
    <col min="13555" max="13555" width="13.28515625" style="2" customWidth="1"/>
    <col min="13556" max="13556" width="11.85546875" style="2" customWidth="1"/>
    <col min="13557" max="13557" width="13.140625" style="2" customWidth="1"/>
    <col min="13558" max="13558" width="14.42578125" style="2" customWidth="1"/>
    <col min="13559" max="13559" width="12.85546875" style="2" customWidth="1"/>
    <col min="13560" max="13565" width="12.28515625" style="2" bestFit="1" customWidth="1"/>
    <col min="13566" max="13573" width="13.85546875" style="2" bestFit="1" customWidth="1"/>
    <col min="13574" max="13574" width="16.28515625" style="2" customWidth="1"/>
    <col min="13575" max="13576" width="11.42578125" style="2"/>
    <col min="13577" max="13577" width="11.7109375" style="2" bestFit="1" customWidth="1"/>
    <col min="13578" max="13578" width="12.28515625" style="2" customWidth="1"/>
    <col min="13579" max="13809" width="11.42578125" style="2"/>
    <col min="13810" max="13810" width="32.42578125" style="2" customWidth="1"/>
    <col min="13811" max="13811" width="13.28515625" style="2" customWidth="1"/>
    <col min="13812" max="13812" width="11.85546875" style="2" customWidth="1"/>
    <col min="13813" max="13813" width="13.140625" style="2" customWidth="1"/>
    <col min="13814" max="13814" width="14.42578125" style="2" customWidth="1"/>
    <col min="13815" max="13815" width="12.85546875" style="2" customWidth="1"/>
    <col min="13816" max="13821" width="12.28515625" style="2" bestFit="1" customWidth="1"/>
    <col min="13822" max="13829" width="13.85546875" style="2" bestFit="1" customWidth="1"/>
    <col min="13830" max="13830" width="16.28515625" style="2" customWidth="1"/>
    <col min="13831" max="13832" width="11.42578125" style="2"/>
    <col min="13833" max="13833" width="11.7109375" style="2" bestFit="1" customWidth="1"/>
    <col min="13834" max="13834" width="12.28515625" style="2" customWidth="1"/>
    <col min="13835" max="14065" width="11.42578125" style="2"/>
    <col min="14066" max="14066" width="32.42578125" style="2" customWidth="1"/>
    <col min="14067" max="14067" width="13.28515625" style="2" customWidth="1"/>
    <col min="14068" max="14068" width="11.85546875" style="2" customWidth="1"/>
    <col min="14069" max="14069" width="13.140625" style="2" customWidth="1"/>
    <col min="14070" max="14070" width="14.42578125" style="2" customWidth="1"/>
    <col min="14071" max="14071" width="12.85546875" style="2" customWidth="1"/>
    <col min="14072" max="14077" width="12.28515625" style="2" bestFit="1" customWidth="1"/>
    <col min="14078" max="14085" width="13.85546875" style="2" bestFit="1" customWidth="1"/>
    <col min="14086" max="14086" width="16.28515625" style="2" customWidth="1"/>
    <col min="14087" max="14088" width="11.42578125" style="2"/>
    <col min="14089" max="14089" width="11.7109375" style="2" bestFit="1" customWidth="1"/>
    <col min="14090" max="14090" width="12.28515625" style="2" customWidth="1"/>
    <col min="14091" max="14321" width="11.42578125" style="2"/>
    <col min="14322" max="14322" width="32.42578125" style="2" customWidth="1"/>
    <col min="14323" max="14323" width="13.28515625" style="2" customWidth="1"/>
    <col min="14324" max="14324" width="11.85546875" style="2" customWidth="1"/>
    <col min="14325" max="14325" width="13.140625" style="2" customWidth="1"/>
    <col min="14326" max="14326" width="14.42578125" style="2" customWidth="1"/>
    <col min="14327" max="14327" width="12.85546875" style="2" customWidth="1"/>
    <col min="14328" max="14333" width="12.28515625" style="2" bestFit="1" customWidth="1"/>
    <col min="14334" max="14341" width="13.85546875" style="2" bestFit="1" customWidth="1"/>
    <col min="14342" max="14342" width="16.28515625" style="2" customWidth="1"/>
    <col min="14343" max="14344" width="11.42578125" style="2"/>
    <col min="14345" max="14345" width="11.7109375" style="2" bestFit="1" customWidth="1"/>
    <col min="14346" max="14346" width="12.28515625" style="2" customWidth="1"/>
    <col min="14347" max="14577" width="11.42578125" style="2"/>
    <col min="14578" max="14578" width="32.42578125" style="2" customWidth="1"/>
    <col min="14579" max="14579" width="13.28515625" style="2" customWidth="1"/>
    <col min="14580" max="14580" width="11.85546875" style="2" customWidth="1"/>
    <col min="14581" max="14581" width="13.140625" style="2" customWidth="1"/>
    <col min="14582" max="14582" width="14.42578125" style="2" customWidth="1"/>
    <col min="14583" max="14583" width="12.85546875" style="2" customWidth="1"/>
    <col min="14584" max="14589" width="12.28515625" style="2" bestFit="1" customWidth="1"/>
    <col min="14590" max="14597" width="13.85546875" style="2" bestFit="1" customWidth="1"/>
    <col min="14598" max="14598" width="16.28515625" style="2" customWidth="1"/>
    <col min="14599" max="14600" width="11.42578125" style="2"/>
    <col min="14601" max="14601" width="11.7109375" style="2" bestFit="1" customWidth="1"/>
    <col min="14602" max="14602" width="12.28515625" style="2" customWidth="1"/>
    <col min="14603" max="14833" width="11.42578125" style="2"/>
    <col min="14834" max="14834" width="32.42578125" style="2" customWidth="1"/>
    <col min="14835" max="14835" width="13.28515625" style="2" customWidth="1"/>
    <col min="14836" max="14836" width="11.85546875" style="2" customWidth="1"/>
    <col min="14837" max="14837" width="13.140625" style="2" customWidth="1"/>
    <col min="14838" max="14838" width="14.42578125" style="2" customWidth="1"/>
    <col min="14839" max="14839" width="12.85546875" style="2" customWidth="1"/>
    <col min="14840" max="14845" width="12.28515625" style="2" bestFit="1" customWidth="1"/>
    <col min="14846" max="14853" width="13.85546875" style="2" bestFit="1" customWidth="1"/>
    <col min="14854" max="14854" width="16.28515625" style="2" customWidth="1"/>
    <col min="14855" max="14856" width="11.42578125" style="2"/>
    <col min="14857" max="14857" width="11.7109375" style="2" bestFit="1" customWidth="1"/>
    <col min="14858" max="14858" width="12.28515625" style="2" customWidth="1"/>
    <col min="14859" max="15089" width="11.42578125" style="2"/>
    <col min="15090" max="15090" width="32.42578125" style="2" customWidth="1"/>
    <col min="15091" max="15091" width="13.28515625" style="2" customWidth="1"/>
    <col min="15092" max="15092" width="11.85546875" style="2" customWidth="1"/>
    <col min="15093" max="15093" width="13.140625" style="2" customWidth="1"/>
    <col min="15094" max="15094" width="14.42578125" style="2" customWidth="1"/>
    <col min="15095" max="15095" width="12.85546875" style="2" customWidth="1"/>
    <col min="15096" max="15101" width="12.28515625" style="2" bestFit="1" customWidth="1"/>
    <col min="15102" max="15109" width="13.85546875" style="2" bestFit="1" customWidth="1"/>
    <col min="15110" max="15110" width="16.28515625" style="2" customWidth="1"/>
    <col min="15111" max="15112" width="11.42578125" style="2"/>
    <col min="15113" max="15113" width="11.7109375" style="2" bestFit="1" customWidth="1"/>
    <col min="15114" max="15114" width="12.28515625" style="2" customWidth="1"/>
    <col min="15115" max="15345" width="11.42578125" style="2"/>
    <col min="15346" max="15346" width="32.42578125" style="2" customWidth="1"/>
    <col min="15347" max="15347" width="13.28515625" style="2" customWidth="1"/>
    <col min="15348" max="15348" width="11.85546875" style="2" customWidth="1"/>
    <col min="15349" max="15349" width="13.140625" style="2" customWidth="1"/>
    <col min="15350" max="15350" width="14.42578125" style="2" customWidth="1"/>
    <col min="15351" max="15351" width="12.85546875" style="2" customWidth="1"/>
    <col min="15352" max="15357" width="12.28515625" style="2" bestFit="1" customWidth="1"/>
    <col min="15358" max="15365" width="13.85546875" style="2" bestFit="1" customWidth="1"/>
    <col min="15366" max="15366" width="16.28515625" style="2" customWidth="1"/>
    <col min="15367" max="15368" width="11.42578125" style="2"/>
    <col min="15369" max="15369" width="11.7109375" style="2" bestFit="1" customWidth="1"/>
    <col min="15370" max="15370" width="12.28515625" style="2" customWidth="1"/>
    <col min="15371" max="15601" width="11.42578125" style="2"/>
    <col min="15602" max="15602" width="32.42578125" style="2" customWidth="1"/>
    <col min="15603" max="15603" width="13.28515625" style="2" customWidth="1"/>
    <col min="15604" max="15604" width="11.85546875" style="2" customWidth="1"/>
    <col min="15605" max="15605" width="13.140625" style="2" customWidth="1"/>
    <col min="15606" max="15606" width="14.42578125" style="2" customWidth="1"/>
    <col min="15607" max="15607" width="12.85546875" style="2" customWidth="1"/>
    <col min="15608" max="15613" width="12.28515625" style="2" bestFit="1" customWidth="1"/>
    <col min="15614" max="15621" width="13.85546875" style="2" bestFit="1" customWidth="1"/>
    <col min="15622" max="15622" width="16.28515625" style="2" customWidth="1"/>
    <col min="15623" max="15624" width="11.42578125" style="2"/>
    <col min="15625" max="15625" width="11.7109375" style="2" bestFit="1" customWidth="1"/>
    <col min="15626" max="15626" width="12.28515625" style="2" customWidth="1"/>
    <col min="15627" max="15857" width="11.42578125" style="2"/>
    <col min="15858" max="15858" width="32.42578125" style="2" customWidth="1"/>
    <col min="15859" max="15859" width="13.28515625" style="2" customWidth="1"/>
    <col min="15860" max="15860" width="11.85546875" style="2" customWidth="1"/>
    <col min="15861" max="15861" width="13.140625" style="2" customWidth="1"/>
    <col min="15862" max="15862" width="14.42578125" style="2" customWidth="1"/>
    <col min="15863" max="15863" width="12.85546875" style="2" customWidth="1"/>
    <col min="15864" max="15869" width="12.28515625" style="2" bestFit="1" customWidth="1"/>
    <col min="15870" max="15877" width="13.85546875" style="2" bestFit="1" customWidth="1"/>
    <col min="15878" max="15878" width="16.28515625" style="2" customWidth="1"/>
    <col min="15879" max="15880" width="11.42578125" style="2"/>
    <col min="15881" max="15881" width="11.7109375" style="2" bestFit="1" customWidth="1"/>
    <col min="15882" max="15882" width="12.28515625" style="2" customWidth="1"/>
    <col min="15883" max="16113" width="11.42578125" style="2"/>
    <col min="16114" max="16114" width="32.42578125" style="2" customWidth="1"/>
    <col min="16115" max="16115" width="13.28515625" style="2" customWidth="1"/>
    <col min="16116" max="16116" width="11.85546875" style="2" customWidth="1"/>
    <col min="16117" max="16117" width="13.140625" style="2" customWidth="1"/>
    <col min="16118" max="16118" width="14.42578125" style="2" customWidth="1"/>
    <col min="16119" max="16119" width="12.85546875" style="2" customWidth="1"/>
    <col min="16120" max="16125" width="12.28515625" style="2" bestFit="1" customWidth="1"/>
    <col min="16126" max="16133" width="13.85546875" style="2" bestFit="1" customWidth="1"/>
    <col min="16134" max="16134" width="16.28515625" style="2" customWidth="1"/>
    <col min="16135" max="16136" width="11.42578125" style="2"/>
    <col min="16137" max="16137" width="11.7109375" style="2" bestFit="1" customWidth="1"/>
    <col min="16138" max="16138" width="12.28515625" style="2" customWidth="1"/>
    <col min="16139" max="16384" width="11.42578125" style="2"/>
  </cols>
  <sheetData>
    <row r="1" spans="1:145" x14ac:dyDescent="0.25">
      <c r="A1" s="3"/>
      <c r="B1" s="3"/>
      <c r="C1" s="3"/>
      <c r="D1" s="3"/>
      <c r="E1" s="34" t="s">
        <v>182</v>
      </c>
      <c r="F1" s="3"/>
      <c r="G1" s="3"/>
      <c r="H1" s="3"/>
    </row>
    <row r="2" spans="1:145" ht="16.5" thickBot="1" x14ac:dyDescent="0.3">
      <c r="C2" s="3"/>
      <c r="D2" s="3"/>
      <c r="F2" s="3"/>
      <c r="G2" s="3"/>
      <c r="H2" s="5"/>
    </row>
    <row r="3" spans="1:145" s="189" customFormat="1" ht="16.5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92" t="s">
        <v>23</v>
      </c>
    </row>
    <row r="4" spans="1:145" s="189" customFormat="1" x14ac:dyDescent="0.25">
      <c r="A4" s="33"/>
      <c r="B4" s="33"/>
      <c r="C4" s="190"/>
      <c r="D4" s="190"/>
      <c r="E4" s="190"/>
      <c r="F4" s="190"/>
      <c r="G4" s="190"/>
      <c r="H4" s="45"/>
    </row>
    <row r="5" spans="1:145" x14ac:dyDescent="0.25">
      <c r="A5" s="141" t="s">
        <v>197</v>
      </c>
      <c r="B5" s="142" t="s">
        <v>5</v>
      </c>
    </row>
    <row r="6" spans="1:145" x14ac:dyDescent="0.25">
      <c r="A6" s="140" t="s">
        <v>198</v>
      </c>
      <c r="B6" s="121"/>
      <c r="D6" s="97">
        <v>0</v>
      </c>
      <c r="E6" s="97"/>
      <c r="F6" s="97"/>
      <c r="G6" s="97">
        <v>54400</v>
      </c>
      <c r="H6" s="86">
        <f>SUM(C6:G6)</f>
        <v>54400</v>
      </c>
    </row>
    <row r="7" spans="1:145" x14ac:dyDescent="0.25">
      <c r="A7" s="143" t="s">
        <v>196</v>
      </c>
      <c r="B7" s="141"/>
      <c r="D7" s="148">
        <f>SUM(D6:D6)</f>
        <v>0</v>
      </c>
      <c r="E7" s="148">
        <f>SUM(E6:E6)</f>
        <v>0</v>
      </c>
      <c r="F7" s="148">
        <f>SUM(F6:F6)</f>
        <v>0</v>
      </c>
      <c r="G7" s="148">
        <f>SUM(G6:G6)</f>
        <v>54400</v>
      </c>
      <c r="H7" s="148">
        <f>SUM(H6:H6)</f>
        <v>54400</v>
      </c>
    </row>
    <row r="8" spans="1:145" x14ac:dyDescent="0.25">
      <c r="A8" s="3"/>
      <c r="B8" s="3"/>
      <c r="D8" s="3"/>
      <c r="E8" s="3"/>
      <c r="F8" s="3"/>
      <c r="G8" s="144"/>
      <c r="H8" s="3"/>
    </row>
    <row r="9" spans="1:145" s="71" customFormat="1" x14ac:dyDescent="0.25">
      <c r="A9" s="33" t="s">
        <v>199</v>
      </c>
      <c r="B9" s="33" t="s">
        <v>5</v>
      </c>
      <c r="D9" s="45" t="s">
        <v>184</v>
      </c>
      <c r="E9" s="45" t="s">
        <v>185</v>
      </c>
      <c r="F9" s="45" t="s">
        <v>186</v>
      </c>
      <c r="G9" s="45" t="s">
        <v>187</v>
      </c>
      <c r="H9" s="45"/>
    </row>
    <row r="10" spans="1:145" s="71" customFormat="1" x14ac:dyDescent="0.25">
      <c r="A10" s="167"/>
      <c r="B10" s="145">
        <v>10000</v>
      </c>
      <c r="C10" s="147"/>
      <c r="D10" s="147"/>
      <c r="E10" s="147"/>
      <c r="F10" s="147"/>
      <c r="G10" s="147"/>
      <c r="H10" s="56">
        <f>SUM(D10:G10)</f>
        <v>0</v>
      </c>
    </row>
    <row r="11" spans="1:145" s="73" customFormat="1" x14ac:dyDescent="0.25">
      <c r="A11" s="35" t="s">
        <v>205</v>
      </c>
      <c r="B11" s="56"/>
      <c r="D11" s="105">
        <v>7609.0441100000007</v>
      </c>
      <c r="E11" s="105">
        <v>9544.9826900000007</v>
      </c>
      <c r="F11" s="105">
        <v>1977.54</v>
      </c>
      <c r="G11" s="105">
        <v>0</v>
      </c>
      <c r="H11" s="105"/>
      <c r="K11" s="105"/>
      <c r="L11" s="105"/>
      <c r="M11" s="105"/>
      <c r="EO11" s="137"/>
    </row>
    <row r="12" spans="1:145" s="73" customFormat="1" x14ac:dyDescent="0.25">
      <c r="A12" s="35" t="s">
        <v>136</v>
      </c>
      <c r="B12" s="56">
        <f>+'MANO DE OBRA'!C28</f>
        <v>6102</v>
      </c>
      <c r="D12" s="105">
        <v>3051</v>
      </c>
      <c r="E12" s="105">
        <v>3051</v>
      </c>
      <c r="F12" s="105">
        <v>0</v>
      </c>
      <c r="G12" s="105">
        <v>0</v>
      </c>
      <c r="H12" s="105">
        <f t="shared" ref="H12:H17" si="0">SUM(D12:G12)</f>
        <v>6102</v>
      </c>
      <c r="K12" s="177"/>
      <c r="L12" s="177"/>
      <c r="M12" s="177"/>
      <c r="EO12" s="137"/>
    </row>
    <row r="13" spans="1:145" s="73" customFormat="1" x14ac:dyDescent="0.25">
      <c r="A13" s="35" t="s">
        <v>137</v>
      </c>
      <c r="B13" s="56">
        <f>+LOGISTICA!B30</f>
        <v>2327.1</v>
      </c>
      <c r="D13" s="105">
        <v>1163.55</v>
      </c>
      <c r="E13" s="105">
        <v>1163.55</v>
      </c>
      <c r="F13" s="105">
        <v>0</v>
      </c>
      <c r="G13" s="105">
        <v>0</v>
      </c>
      <c r="H13" s="105">
        <f t="shared" si="0"/>
        <v>2327.1</v>
      </c>
      <c r="EO13" s="137"/>
    </row>
    <row r="14" spans="1:145" s="67" customFormat="1" x14ac:dyDescent="0.25">
      <c r="A14" s="35" t="s">
        <v>200</v>
      </c>
      <c r="B14" s="56">
        <f>SUM(B11:B13)</f>
        <v>8429.1</v>
      </c>
      <c r="D14" s="171">
        <f>SUM(D11:D13)</f>
        <v>11823.59411</v>
      </c>
      <c r="E14" s="171">
        <f>SUM(E11:E13)</f>
        <v>13759.53269</v>
      </c>
      <c r="F14" s="171">
        <f>SUM(F11:F13)</f>
        <v>1977.54</v>
      </c>
      <c r="G14" s="171">
        <f>SUM(G11:G13)</f>
        <v>0</v>
      </c>
      <c r="H14" s="171">
        <f t="shared" si="0"/>
        <v>27560.666799999999</v>
      </c>
      <c r="EO14" s="137"/>
    </row>
    <row r="15" spans="1:145" s="67" customFormat="1" x14ac:dyDescent="0.25">
      <c r="A15" s="35" t="s">
        <v>201</v>
      </c>
      <c r="B15" s="105"/>
      <c r="C15" s="166">
        <v>0.1</v>
      </c>
      <c r="D15" s="105">
        <f>+$C$15*D11</f>
        <v>760.9044110000001</v>
      </c>
      <c r="E15" s="105">
        <f t="shared" ref="E15:F15" si="1">+$C$15*E11</f>
        <v>954.49826900000016</v>
      </c>
      <c r="F15" s="105">
        <f t="shared" si="1"/>
        <v>197.75400000000002</v>
      </c>
      <c r="G15" s="105">
        <f>+$C$15*G11</f>
        <v>0</v>
      </c>
      <c r="H15" s="105">
        <f t="shared" si="0"/>
        <v>1913.1566800000001</v>
      </c>
      <c r="EO15" s="137"/>
    </row>
    <row r="16" spans="1:145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880.91489647000003</v>
      </c>
      <c r="E16" s="105">
        <f t="shared" ref="E16:F16" si="2">(+E14+E15)*$C$16</f>
        <v>1029.9821671300001</v>
      </c>
      <c r="F16" s="105">
        <f t="shared" si="2"/>
        <v>152.27058</v>
      </c>
      <c r="G16" s="105">
        <f>(+G14+G15)*0.07</f>
        <v>0</v>
      </c>
      <c r="H16" s="105">
        <f t="shared" si="0"/>
        <v>2063.1676436000002</v>
      </c>
      <c r="EO16" s="137"/>
    </row>
    <row r="17" spans="1:145" s="67" customFormat="1" x14ac:dyDescent="0.25">
      <c r="A17" s="35" t="s">
        <v>89</v>
      </c>
      <c r="B17" s="105"/>
      <c r="C17" s="166">
        <v>0.12</v>
      </c>
      <c r="D17" s="105">
        <f>(+D14+D15)*$C$17</f>
        <v>1510.1398225199998</v>
      </c>
      <c r="E17" s="105">
        <f t="shared" ref="E17:F17" si="3">(+E14+E15)*$C$17</f>
        <v>1765.68371508</v>
      </c>
      <c r="F17" s="105">
        <f t="shared" si="3"/>
        <v>261.03528</v>
      </c>
      <c r="G17" s="105"/>
      <c r="H17" s="105">
        <f t="shared" si="0"/>
        <v>3536.8588175999998</v>
      </c>
      <c r="EO17" s="137"/>
    </row>
    <row r="18" spans="1:145" s="67" customFormat="1" x14ac:dyDescent="0.25">
      <c r="A18" s="143" t="s">
        <v>181</v>
      </c>
      <c r="B18" s="141"/>
      <c r="D18" s="148">
        <f>SUM(D14:D17)+D10</f>
        <v>14975.553239989998</v>
      </c>
      <c r="E18" s="148">
        <f>SUM(E14:E17)+E10</f>
        <v>17509.69684121</v>
      </c>
      <c r="F18" s="148">
        <f>SUM(F14:F17)+F10</f>
        <v>2588.5998599999998</v>
      </c>
      <c r="G18" s="148">
        <f>SUM(G14:G17)+G10</f>
        <v>0</v>
      </c>
      <c r="H18" s="148">
        <f>SUM(H14:H17)+H10</f>
        <v>35073.849941200002</v>
      </c>
      <c r="EO18" s="137"/>
    </row>
    <row r="19" spans="1:145" s="67" customFormat="1" x14ac:dyDescent="0.25">
      <c r="A19" s="143"/>
      <c r="B19" s="141"/>
      <c r="D19" s="148"/>
      <c r="E19" s="148"/>
      <c r="F19" s="148"/>
      <c r="G19" s="148"/>
      <c r="H19" s="148"/>
      <c r="EO19" s="137"/>
    </row>
    <row r="20" spans="1:145" s="73" customFormat="1" x14ac:dyDescent="0.25">
      <c r="A20" s="140" t="s">
        <v>232</v>
      </c>
      <c r="B20" s="121"/>
      <c r="D20" s="130">
        <f>+D7-D18</f>
        <v>-14975.553239989998</v>
      </c>
      <c r="E20" s="130">
        <f>+E7-E18</f>
        <v>-17509.69684121</v>
      </c>
      <c r="F20" s="130">
        <f>+F7-F18</f>
        <v>-2588.5998599999998</v>
      </c>
      <c r="G20" s="130">
        <f>+G7-G18</f>
        <v>54400</v>
      </c>
      <c r="H20" s="130"/>
      <c r="I20" s="139"/>
    </row>
    <row r="21" spans="1:145" s="73" customFormat="1" x14ac:dyDescent="0.25">
      <c r="A21" s="140" t="s">
        <v>231</v>
      </c>
      <c r="B21" s="121"/>
      <c r="D21" s="130">
        <v>0</v>
      </c>
      <c r="E21" s="130">
        <v>0</v>
      </c>
      <c r="F21" s="130">
        <v>0</v>
      </c>
      <c r="G21" s="130">
        <v>3142.91</v>
      </c>
      <c r="H21" s="130"/>
      <c r="I21" s="139"/>
    </row>
    <row r="22" spans="1:145" s="73" customFormat="1" x14ac:dyDescent="0.25">
      <c r="A22" s="140" t="s">
        <v>233</v>
      </c>
      <c r="B22" s="121"/>
      <c r="C22" s="182"/>
      <c r="D22" s="183">
        <f>+D20-D21</f>
        <v>-14975.553239989998</v>
      </c>
      <c r="E22" s="183">
        <f t="shared" ref="E22:G22" si="4">+E20-E21</f>
        <v>-17509.69684121</v>
      </c>
      <c r="F22" s="183">
        <f t="shared" si="4"/>
        <v>-2588.5998599999998</v>
      </c>
      <c r="G22" s="183">
        <f t="shared" si="4"/>
        <v>51257.09</v>
      </c>
      <c r="H22" s="130"/>
      <c r="I22" s="139"/>
    </row>
    <row r="23" spans="1:145" s="73" customFormat="1" x14ac:dyDescent="0.25">
      <c r="A23" s="140" t="s">
        <v>234</v>
      </c>
      <c r="B23" s="121"/>
      <c r="C23" s="184">
        <v>-10000</v>
      </c>
      <c r="D23" s="183"/>
      <c r="E23" s="183"/>
      <c r="F23" s="183"/>
      <c r="G23" s="183"/>
      <c r="H23" s="130"/>
      <c r="I23" s="139"/>
    </row>
    <row r="24" spans="1:145" x14ac:dyDescent="0.25">
      <c r="A24" s="140" t="s">
        <v>207</v>
      </c>
      <c r="B24" s="121"/>
      <c r="C24" s="184">
        <v>-14975.55</v>
      </c>
      <c r="D24" s="183">
        <f>-D22+E22</f>
        <v>-2534.1436012200011</v>
      </c>
      <c r="E24" s="183">
        <f>-E20+F20</f>
        <v>14921.096981209999</v>
      </c>
      <c r="F24" s="183">
        <f>-F20</f>
        <v>2588.5998599999998</v>
      </c>
      <c r="G24" s="183">
        <v>0</v>
      </c>
      <c r="H24" s="130"/>
      <c r="I24" s="157"/>
      <c r="J24" s="106"/>
    </row>
    <row r="25" spans="1:145" ht="16.5" thickBot="1" x14ac:dyDescent="0.3">
      <c r="A25" s="150" t="s">
        <v>209</v>
      </c>
      <c r="B25" s="150"/>
      <c r="C25" s="151">
        <f>SUM(C22:C24)</f>
        <v>-24975.55</v>
      </c>
      <c r="D25" s="153">
        <f>+D22+D24</f>
        <v>-17509.69684121</v>
      </c>
      <c r="E25" s="153">
        <f t="shared" ref="E25:G25" si="5">+E22+E24</f>
        <v>-2588.5998600000003</v>
      </c>
      <c r="F25" s="153">
        <f t="shared" si="5"/>
        <v>0</v>
      </c>
      <c r="G25" s="153">
        <f t="shared" si="5"/>
        <v>51257.09</v>
      </c>
      <c r="H25" s="153"/>
      <c r="J25" s="104"/>
    </row>
    <row r="26" spans="1:145" x14ac:dyDescent="0.25">
      <c r="A26" s="2" t="s">
        <v>195</v>
      </c>
      <c r="C26" s="121"/>
      <c r="D26" s="121"/>
      <c r="E26" s="36"/>
      <c r="F26" s="36"/>
      <c r="G26" s="36"/>
      <c r="H26" s="3"/>
      <c r="J26" s="104"/>
    </row>
    <row r="27" spans="1:145" x14ac:dyDescent="0.25">
      <c r="A27" s="2" t="s">
        <v>235</v>
      </c>
      <c r="B27" s="140"/>
      <c r="C27" s="140">
        <f>NPV(18%/12,D25:G25)+C25</f>
        <v>3554.4841732492532</v>
      </c>
      <c r="D27" s="121"/>
      <c r="E27" s="36"/>
      <c r="F27" s="36"/>
      <c r="G27" s="36"/>
      <c r="H27" s="3"/>
      <c r="J27" s="104"/>
    </row>
    <row r="28" spans="1:145" x14ac:dyDescent="0.25">
      <c r="A28" s="140" t="s">
        <v>236</v>
      </c>
      <c r="B28" s="140"/>
      <c r="C28" s="195">
        <f>IRR(C25:G25)*12</f>
        <v>0.44850866668774536</v>
      </c>
      <c r="D28" s="121"/>
      <c r="E28" s="36"/>
      <c r="F28" s="36"/>
      <c r="G28" s="36"/>
      <c r="H28" s="3"/>
      <c r="J28" s="104"/>
    </row>
    <row r="29" spans="1:145" x14ac:dyDescent="0.25">
      <c r="A29" s="140"/>
      <c r="B29" s="140"/>
      <c r="C29" s="195"/>
      <c r="D29" s="121"/>
      <c r="E29" s="36"/>
      <c r="F29" s="36"/>
      <c r="G29" s="36"/>
      <c r="H29" s="3"/>
      <c r="J29" s="104"/>
    </row>
    <row r="30" spans="1:145" x14ac:dyDescent="0.25">
      <c r="A30" s="140"/>
      <c r="B30" s="140"/>
      <c r="C30" s="195"/>
      <c r="D30" s="121"/>
      <c r="E30" s="36"/>
      <c r="F30" s="36"/>
      <c r="G30" s="36"/>
      <c r="H30" s="3"/>
      <c r="J30" s="104"/>
    </row>
    <row r="31" spans="1:145" x14ac:dyDescent="0.25">
      <c r="A31" s="140"/>
      <c r="B31" s="140"/>
      <c r="C31" s="195"/>
      <c r="D31" s="121"/>
      <c r="E31" s="36"/>
      <c r="F31" s="36"/>
      <c r="G31" s="36"/>
      <c r="H31" s="3"/>
      <c r="J31" s="104"/>
    </row>
    <row r="32" spans="1:145" x14ac:dyDescent="0.25">
      <c r="A32" s="140" t="s">
        <v>209</v>
      </c>
      <c r="B32" s="140"/>
      <c r="C32" s="121">
        <v>-15073.85</v>
      </c>
      <c r="D32" s="121">
        <v>-14975.553239989998</v>
      </c>
      <c r="E32" s="36">
        <v>-17509.69684121</v>
      </c>
      <c r="F32" s="36">
        <v>-2588.5998599999998</v>
      </c>
      <c r="G32" s="36">
        <v>56330.939999999995</v>
      </c>
      <c r="H32" s="3"/>
      <c r="J32" s="104"/>
    </row>
    <row r="33" spans="1:10" x14ac:dyDescent="0.25">
      <c r="A33" s="140" t="s">
        <v>237</v>
      </c>
      <c r="B33" s="140"/>
      <c r="C33" s="122">
        <v>-5073.8500000000004</v>
      </c>
      <c r="D33" s="121">
        <v>-4975.55</v>
      </c>
      <c r="E33" s="36">
        <v>-7509.7</v>
      </c>
      <c r="F33" s="36">
        <v>-588.6</v>
      </c>
      <c r="G33" s="36">
        <f>+G32-G34</f>
        <v>23654.770413806578</v>
      </c>
      <c r="H33" s="3"/>
      <c r="J33" s="104"/>
    </row>
    <row r="34" spans="1:10" x14ac:dyDescent="0.25">
      <c r="A34" s="140" t="s">
        <v>238</v>
      </c>
      <c r="B34" s="140"/>
      <c r="C34" s="122">
        <v>-10000</v>
      </c>
      <c r="D34" s="121">
        <v>-10000</v>
      </c>
      <c r="E34" s="36">
        <v>-10000</v>
      </c>
      <c r="F34" s="36">
        <v>-2000</v>
      </c>
      <c r="G34" s="36">
        <f>SUM(F36:F39)</f>
        <v>32676.169586193417</v>
      </c>
      <c r="H34" s="3"/>
      <c r="J34" s="104"/>
    </row>
    <row r="35" spans="1:10" x14ac:dyDescent="0.25">
      <c r="A35" s="140"/>
      <c r="B35" s="140"/>
      <c r="C35" s="195"/>
      <c r="D35" s="121"/>
      <c r="E35" s="36"/>
      <c r="F35" s="36"/>
      <c r="G35" s="36"/>
      <c r="H35" s="3"/>
      <c r="J35" s="104"/>
    </row>
    <row r="36" spans="1:10" x14ac:dyDescent="0.25">
      <c r="A36" s="140"/>
      <c r="B36" s="140"/>
      <c r="C36" s="195"/>
      <c r="D36" s="121"/>
      <c r="E36" s="36"/>
      <c r="F36" s="36">
        <f>FV(8.75%/12,4,,C34)</f>
        <v>10294.872306552936</v>
      </c>
      <c r="G36" s="36"/>
      <c r="H36" s="3"/>
      <c r="J36" s="104"/>
    </row>
    <row r="37" spans="1:10" x14ac:dyDescent="0.25">
      <c r="A37" s="140"/>
      <c r="B37" s="140"/>
      <c r="C37" s="196">
        <f>NPV(35%/12,D33:G33)+C33</f>
        <v>3546.6760745773809</v>
      </c>
      <c r="D37" s="121"/>
      <c r="E37" s="36"/>
      <c r="F37" s="36">
        <f>FV(8.75%/12,3,,D34)</f>
        <v>10220.348928946038</v>
      </c>
      <c r="G37" s="36"/>
      <c r="H37" s="3"/>
      <c r="J37" s="104"/>
    </row>
    <row r="38" spans="1:10" x14ac:dyDescent="0.25">
      <c r="A38" s="140"/>
      <c r="B38" s="140"/>
      <c r="C38" s="195"/>
      <c r="D38" s="121"/>
      <c r="E38" s="36"/>
      <c r="F38" s="36">
        <f>FV(8.75%/12,2,,E34)</f>
        <v>10146.365017361111</v>
      </c>
      <c r="G38" s="36"/>
      <c r="H38" s="3"/>
      <c r="J38" s="104"/>
    </row>
    <row r="39" spans="1:10" x14ac:dyDescent="0.25">
      <c r="A39" s="140"/>
      <c r="B39" s="140"/>
      <c r="C39" s="195"/>
      <c r="D39" s="121"/>
      <c r="E39" s="36"/>
      <c r="F39" s="36">
        <f>FV(8.75%/12,1,,F34)</f>
        <v>2014.5833333333335</v>
      </c>
      <c r="G39" s="36"/>
      <c r="H39" s="3"/>
      <c r="J39" s="104"/>
    </row>
    <row r="40" spans="1:10" x14ac:dyDescent="0.25">
      <c r="A40" s="140"/>
      <c r="B40" s="140"/>
      <c r="C40" s="195"/>
      <c r="D40" s="121"/>
      <c r="E40" s="36"/>
      <c r="F40" s="36"/>
      <c r="G40" s="36"/>
      <c r="H40" s="3"/>
      <c r="J40" s="104"/>
    </row>
    <row r="41" spans="1:10" x14ac:dyDescent="0.25">
      <c r="A41" s="140"/>
      <c r="B41" s="140"/>
      <c r="C41" s="195"/>
      <c r="D41" s="121"/>
      <c r="E41" s="36"/>
      <c r="F41" s="36"/>
      <c r="G41" s="36"/>
      <c r="H41" s="3"/>
      <c r="J41" s="104"/>
    </row>
    <row r="42" spans="1:10" x14ac:dyDescent="0.25">
      <c r="A42" s="140"/>
      <c r="B42" s="140"/>
      <c r="C42" s="195"/>
      <c r="D42" s="121"/>
      <c r="E42" s="36"/>
      <c r="F42" s="36"/>
      <c r="G42" s="36"/>
      <c r="H42" s="3"/>
      <c r="J42" s="104"/>
    </row>
    <row r="43" spans="1:10" x14ac:dyDescent="0.25">
      <c r="A43" s="3"/>
      <c r="B43" s="3"/>
      <c r="C43" s="3"/>
      <c r="D43" s="3"/>
      <c r="E43" s="140" t="s">
        <v>203</v>
      </c>
      <c r="F43" s="3"/>
      <c r="G43" s="3"/>
      <c r="H43" s="3"/>
      <c r="J43" s="3"/>
    </row>
    <row r="44" spans="1:10" ht="16.5" thickBot="1" x14ac:dyDescent="0.3">
      <c r="A44" s="150"/>
      <c r="B44" s="150"/>
      <c r="C44" s="151"/>
      <c r="D44" s="151"/>
      <c r="E44" s="152"/>
      <c r="F44" s="152"/>
      <c r="G44" s="152"/>
      <c r="H44" s="5"/>
    </row>
    <row r="45" spans="1:10" s="15" customFormat="1" ht="16.5" thickBot="1" x14ac:dyDescent="0.3">
      <c r="A45" s="170"/>
      <c r="B45" s="170"/>
      <c r="C45" s="169" t="s">
        <v>202</v>
      </c>
      <c r="D45" s="191" t="s">
        <v>184</v>
      </c>
      <c r="E45" s="191" t="s">
        <v>185</v>
      </c>
      <c r="F45" s="191" t="s">
        <v>186</v>
      </c>
      <c r="G45" s="191" t="s">
        <v>187</v>
      </c>
      <c r="H45" s="192"/>
    </row>
    <row r="46" spans="1:10" x14ac:dyDescent="0.25">
      <c r="A46" s="140" t="s">
        <v>204</v>
      </c>
      <c r="B46" s="140"/>
      <c r="C46" s="130">
        <f>+C24</f>
        <v>-14975.55</v>
      </c>
      <c r="D46" s="130">
        <v>0</v>
      </c>
      <c r="E46" s="97">
        <v>0</v>
      </c>
      <c r="F46" s="97">
        <v>0</v>
      </c>
      <c r="G46" s="97">
        <f>+G25</f>
        <v>51257.09</v>
      </c>
      <c r="H46" s="3"/>
    </row>
    <row r="47" spans="1:10" x14ac:dyDescent="0.25">
      <c r="A47" s="3" t="s">
        <v>188</v>
      </c>
      <c r="B47" s="3"/>
      <c r="C47" s="146">
        <f>IRR(C46:G46)</f>
        <v>0.36016874557098566</v>
      </c>
      <c r="D47" s="3"/>
      <c r="E47" s="3"/>
      <c r="F47" s="3"/>
      <c r="G47" s="36"/>
      <c r="H47" s="3"/>
    </row>
    <row r="48" spans="1:10" x14ac:dyDescent="0.25">
      <c r="A48" s="3" t="s">
        <v>189</v>
      </c>
      <c r="B48" s="3"/>
      <c r="C48" s="47">
        <f>+C47*12</f>
        <v>4.3220249468518279</v>
      </c>
      <c r="D48" s="3"/>
      <c r="E48" s="3"/>
      <c r="F48" s="3"/>
      <c r="G48" s="121"/>
      <c r="H48" s="3"/>
      <c r="J48" s="104"/>
    </row>
    <row r="49" spans="1:10" x14ac:dyDescent="0.25">
      <c r="A49" s="3" t="s">
        <v>222</v>
      </c>
      <c r="B49" s="3"/>
      <c r="C49" s="188">
        <f>NPV(0.1/12,D46:G46)+C46</f>
        <v>34607.980819047341</v>
      </c>
      <c r="D49" s="1"/>
      <c r="E49" s="1"/>
      <c r="F49" s="1"/>
      <c r="G49" s="1"/>
      <c r="H49" s="1"/>
      <c r="I49" s="1"/>
      <c r="J49" s="104"/>
    </row>
    <row r="50" spans="1:10" ht="16.5" thickBot="1" x14ac:dyDescent="0.3">
      <c r="A50" s="5" t="s">
        <v>223</v>
      </c>
      <c r="B50" s="5"/>
      <c r="C50" s="154">
        <f>NPV(+C48/12,D46:G46)+C46</f>
        <v>0</v>
      </c>
      <c r="D50" s="193"/>
      <c r="E50" s="193"/>
      <c r="F50" s="193"/>
      <c r="G50" s="193"/>
      <c r="H50" s="193"/>
      <c r="I50" s="1"/>
      <c r="J50" s="104"/>
    </row>
    <row r="51" spans="1:10" x14ac:dyDescent="0.25">
      <c r="D51" s="1"/>
      <c r="E51" s="1"/>
      <c r="F51" s="1"/>
      <c r="G51" s="1"/>
      <c r="H51" s="1"/>
      <c r="I51" s="1"/>
      <c r="J51" s="104"/>
    </row>
    <row r="52" spans="1:10" x14ac:dyDescent="0.25">
      <c r="C52" s="138"/>
      <c r="J52" s="104"/>
    </row>
    <row r="53" spans="1:10" x14ac:dyDescent="0.25">
      <c r="A53" s="2" t="s">
        <v>228</v>
      </c>
      <c r="C53" s="2" t="s">
        <v>229</v>
      </c>
    </row>
    <row r="54" spans="1:10" x14ac:dyDescent="0.25">
      <c r="C54" s="2" t="s">
        <v>230</v>
      </c>
    </row>
    <row r="60" spans="1:10" x14ac:dyDescent="0.25">
      <c r="J60" s="129"/>
    </row>
    <row r="73" spans="6:10" x14ac:dyDescent="0.25">
      <c r="F73" s="129"/>
    </row>
    <row r="74" spans="6:10" x14ac:dyDescent="0.25">
      <c r="F74" s="129"/>
    </row>
    <row r="75" spans="6:10" x14ac:dyDescent="0.25">
      <c r="F75" s="129"/>
    </row>
    <row r="76" spans="6:10" x14ac:dyDescent="0.25">
      <c r="F76" s="129"/>
    </row>
    <row r="77" spans="6:10" x14ac:dyDescent="0.25">
      <c r="F77" s="129"/>
    </row>
    <row r="78" spans="6:10" x14ac:dyDescent="0.25">
      <c r="J78" s="129"/>
    </row>
    <row r="79" spans="6:10" x14ac:dyDescent="0.25">
      <c r="J79" s="129"/>
    </row>
    <row r="80" spans="6:10" x14ac:dyDescent="0.25">
      <c r="J80" s="129"/>
    </row>
    <row r="81" spans="10:10" x14ac:dyDescent="0.25">
      <c r="J81" s="129"/>
    </row>
    <row r="82" spans="10:10" x14ac:dyDescent="0.25">
      <c r="J82" s="1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67"/>
  <sheetViews>
    <sheetView topLeftCell="A6" zoomScale="89" zoomScaleNormal="89" workbookViewId="0">
      <selection activeCell="F24" sqref="F24"/>
    </sheetView>
  </sheetViews>
  <sheetFormatPr baseColWidth="10" defaultRowHeight="15.75" x14ac:dyDescent="0.25"/>
  <cols>
    <col min="1" max="1" width="30.28515625" style="2" customWidth="1"/>
    <col min="2" max="2" width="19.42578125" style="2" hidden="1" customWidth="1"/>
    <col min="3" max="3" width="15.140625" style="2" customWidth="1"/>
    <col min="4" max="4" width="18.7109375" style="2" customWidth="1"/>
    <col min="5" max="5" width="21.28515625" style="2" customWidth="1"/>
    <col min="6" max="6" width="14.42578125" style="2" customWidth="1"/>
    <col min="7" max="7" width="12.42578125" style="2" customWidth="1"/>
    <col min="8" max="8" width="1.85546875" style="2" customWidth="1"/>
    <col min="9" max="9" width="13.7109375" style="2" bestFit="1" customWidth="1"/>
    <col min="10" max="10" width="12.28515625" style="2" customWidth="1"/>
    <col min="11" max="12" width="13" style="2" customWidth="1"/>
    <col min="13" max="13" width="13.42578125" style="2" customWidth="1"/>
    <col min="14" max="241" width="11.5703125" style="2"/>
    <col min="242" max="242" width="32.42578125" style="2" customWidth="1"/>
    <col min="243" max="243" width="13.28515625" style="2" customWidth="1"/>
    <col min="244" max="244" width="11.85546875" style="2" customWidth="1"/>
    <col min="245" max="245" width="13.140625" style="2" customWidth="1"/>
    <col min="246" max="246" width="14.42578125" style="2" customWidth="1"/>
    <col min="247" max="247" width="12.85546875" style="2" customWidth="1"/>
    <col min="248" max="253" width="12.28515625" style="2" bestFit="1" customWidth="1"/>
    <col min="254" max="261" width="13.85546875" style="2" bestFit="1" customWidth="1"/>
    <col min="262" max="262" width="16.28515625" style="2" customWidth="1"/>
    <col min="263" max="264" width="11.5703125" style="2"/>
    <col min="265" max="265" width="11.7109375" style="2" bestFit="1" customWidth="1"/>
    <col min="266" max="266" width="12.28515625" style="2" customWidth="1"/>
    <col min="267" max="497" width="11.5703125" style="2"/>
    <col min="498" max="498" width="32.42578125" style="2" customWidth="1"/>
    <col min="499" max="499" width="13.28515625" style="2" customWidth="1"/>
    <col min="500" max="500" width="11.85546875" style="2" customWidth="1"/>
    <col min="501" max="501" width="13.140625" style="2" customWidth="1"/>
    <col min="502" max="502" width="14.42578125" style="2" customWidth="1"/>
    <col min="503" max="503" width="12.85546875" style="2" customWidth="1"/>
    <col min="504" max="509" width="12.28515625" style="2" bestFit="1" customWidth="1"/>
    <col min="510" max="517" width="13.85546875" style="2" bestFit="1" customWidth="1"/>
    <col min="518" max="518" width="16.28515625" style="2" customWidth="1"/>
    <col min="519" max="520" width="11.5703125" style="2"/>
    <col min="521" max="521" width="11.7109375" style="2" bestFit="1" customWidth="1"/>
    <col min="522" max="522" width="12.28515625" style="2" customWidth="1"/>
    <col min="523" max="753" width="11.5703125" style="2"/>
    <col min="754" max="754" width="32.42578125" style="2" customWidth="1"/>
    <col min="755" max="755" width="13.28515625" style="2" customWidth="1"/>
    <col min="756" max="756" width="11.85546875" style="2" customWidth="1"/>
    <col min="757" max="757" width="13.140625" style="2" customWidth="1"/>
    <col min="758" max="758" width="14.42578125" style="2" customWidth="1"/>
    <col min="759" max="759" width="12.85546875" style="2" customWidth="1"/>
    <col min="760" max="765" width="12.28515625" style="2" bestFit="1" customWidth="1"/>
    <col min="766" max="773" width="13.85546875" style="2" bestFit="1" customWidth="1"/>
    <col min="774" max="774" width="16.28515625" style="2" customWidth="1"/>
    <col min="775" max="776" width="11.5703125" style="2"/>
    <col min="777" max="777" width="11.7109375" style="2" bestFit="1" customWidth="1"/>
    <col min="778" max="778" width="12.28515625" style="2" customWidth="1"/>
    <col min="779" max="1009" width="11.5703125" style="2"/>
    <col min="1010" max="1010" width="32.42578125" style="2" customWidth="1"/>
    <col min="1011" max="1011" width="13.28515625" style="2" customWidth="1"/>
    <col min="1012" max="1012" width="11.85546875" style="2" customWidth="1"/>
    <col min="1013" max="1013" width="13.140625" style="2" customWidth="1"/>
    <col min="1014" max="1014" width="14.42578125" style="2" customWidth="1"/>
    <col min="1015" max="1015" width="12.85546875" style="2" customWidth="1"/>
    <col min="1016" max="1021" width="12.28515625" style="2" bestFit="1" customWidth="1"/>
    <col min="1022" max="1029" width="13.85546875" style="2" bestFit="1" customWidth="1"/>
    <col min="1030" max="1030" width="16.28515625" style="2" customWidth="1"/>
    <col min="1031" max="1032" width="11.5703125" style="2"/>
    <col min="1033" max="1033" width="11.7109375" style="2" bestFit="1" customWidth="1"/>
    <col min="1034" max="1034" width="12.28515625" style="2" customWidth="1"/>
    <col min="1035" max="1265" width="11.5703125" style="2"/>
    <col min="1266" max="1266" width="32.42578125" style="2" customWidth="1"/>
    <col min="1267" max="1267" width="13.28515625" style="2" customWidth="1"/>
    <col min="1268" max="1268" width="11.85546875" style="2" customWidth="1"/>
    <col min="1269" max="1269" width="13.140625" style="2" customWidth="1"/>
    <col min="1270" max="1270" width="14.42578125" style="2" customWidth="1"/>
    <col min="1271" max="1271" width="12.85546875" style="2" customWidth="1"/>
    <col min="1272" max="1277" width="12.28515625" style="2" bestFit="1" customWidth="1"/>
    <col min="1278" max="1285" width="13.85546875" style="2" bestFit="1" customWidth="1"/>
    <col min="1286" max="1286" width="16.28515625" style="2" customWidth="1"/>
    <col min="1287" max="1288" width="11.5703125" style="2"/>
    <col min="1289" max="1289" width="11.7109375" style="2" bestFit="1" customWidth="1"/>
    <col min="1290" max="1290" width="12.28515625" style="2" customWidth="1"/>
    <col min="1291" max="1521" width="11.5703125" style="2"/>
    <col min="1522" max="1522" width="32.42578125" style="2" customWidth="1"/>
    <col min="1523" max="1523" width="13.28515625" style="2" customWidth="1"/>
    <col min="1524" max="1524" width="11.85546875" style="2" customWidth="1"/>
    <col min="1525" max="1525" width="13.140625" style="2" customWidth="1"/>
    <col min="1526" max="1526" width="14.42578125" style="2" customWidth="1"/>
    <col min="1527" max="1527" width="12.85546875" style="2" customWidth="1"/>
    <col min="1528" max="1533" width="12.28515625" style="2" bestFit="1" customWidth="1"/>
    <col min="1534" max="1541" width="13.85546875" style="2" bestFit="1" customWidth="1"/>
    <col min="1542" max="1542" width="16.28515625" style="2" customWidth="1"/>
    <col min="1543" max="1544" width="11.5703125" style="2"/>
    <col min="1545" max="1545" width="11.7109375" style="2" bestFit="1" customWidth="1"/>
    <col min="1546" max="1546" width="12.28515625" style="2" customWidth="1"/>
    <col min="1547" max="1777" width="11.5703125" style="2"/>
    <col min="1778" max="1778" width="32.42578125" style="2" customWidth="1"/>
    <col min="1779" max="1779" width="13.28515625" style="2" customWidth="1"/>
    <col min="1780" max="1780" width="11.85546875" style="2" customWidth="1"/>
    <col min="1781" max="1781" width="13.140625" style="2" customWidth="1"/>
    <col min="1782" max="1782" width="14.42578125" style="2" customWidth="1"/>
    <col min="1783" max="1783" width="12.85546875" style="2" customWidth="1"/>
    <col min="1784" max="1789" width="12.28515625" style="2" bestFit="1" customWidth="1"/>
    <col min="1790" max="1797" width="13.85546875" style="2" bestFit="1" customWidth="1"/>
    <col min="1798" max="1798" width="16.28515625" style="2" customWidth="1"/>
    <col min="1799" max="1800" width="11.5703125" style="2"/>
    <col min="1801" max="1801" width="11.7109375" style="2" bestFit="1" customWidth="1"/>
    <col min="1802" max="1802" width="12.28515625" style="2" customWidth="1"/>
    <col min="1803" max="2033" width="11.5703125" style="2"/>
    <col min="2034" max="2034" width="32.42578125" style="2" customWidth="1"/>
    <col min="2035" max="2035" width="13.28515625" style="2" customWidth="1"/>
    <col min="2036" max="2036" width="11.85546875" style="2" customWidth="1"/>
    <col min="2037" max="2037" width="13.140625" style="2" customWidth="1"/>
    <col min="2038" max="2038" width="14.42578125" style="2" customWidth="1"/>
    <col min="2039" max="2039" width="12.85546875" style="2" customWidth="1"/>
    <col min="2040" max="2045" width="12.28515625" style="2" bestFit="1" customWidth="1"/>
    <col min="2046" max="2053" width="13.85546875" style="2" bestFit="1" customWidth="1"/>
    <col min="2054" max="2054" width="16.28515625" style="2" customWidth="1"/>
    <col min="2055" max="2056" width="11.5703125" style="2"/>
    <col min="2057" max="2057" width="11.7109375" style="2" bestFit="1" customWidth="1"/>
    <col min="2058" max="2058" width="12.28515625" style="2" customWidth="1"/>
    <col min="2059" max="2289" width="11.5703125" style="2"/>
    <col min="2290" max="2290" width="32.42578125" style="2" customWidth="1"/>
    <col min="2291" max="2291" width="13.28515625" style="2" customWidth="1"/>
    <col min="2292" max="2292" width="11.85546875" style="2" customWidth="1"/>
    <col min="2293" max="2293" width="13.140625" style="2" customWidth="1"/>
    <col min="2294" max="2294" width="14.42578125" style="2" customWidth="1"/>
    <col min="2295" max="2295" width="12.85546875" style="2" customWidth="1"/>
    <col min="2296" max="2301" width="12.28515625" style="2" bestFit="1" customWidth="1"/>
    <col min="2302" max="2309" width="13.85546875" style="2" bestFit="1" customWidth="1"/>
    <col min="2310" max="2310" width="16.28515625" style="2" customWidth="1"/>
    <col min="2311" max="2312" width="11.5703125" style="2"/>
    <col min="2313" max="2313" width="11.7109375" style="2" bestFit="1" customWidth="1"/>
    <col min="2314" max="2314" width="12.28515625" style="2" customWidth="1"/>
    <col min="2315" max="2545" width="11.5703125" style="2"/>
    <col min="2546" max="2546" width="32.42578125" style="2" customWidth="1"/>
    <col min="2547" max="2547" width="13.28515625" style="2" customWidth="1"/>
    <col min="2548" max="2548" width="11.85546875" style="2" customWidth="1"/>
    <col min="2549" max="2549" width="13.140625" style="2" customWidth="1"/>
    <col min="2550" max="2550" width="14.42578125" style="2" customWidth="1"/>
    <col min="2551" max="2551" width="12.85546875" style="2" customWidth="1"/>
    <col min="2552" max="2557" width="12.28515625" style="2" bestFit="1" customWidth="1"/>
    <col min="2558" max="2565" width="13.85546875" style="2" bestFit="1" customWidth="1"/>
    <col min="2566" max="2566" width="16.28515625" style="2" customWidth="1"/>
    <col min="2567" max="2568" width="11.5703125" style="2"/>
    <col min="2569" max="2569" width="11.7109375" style="2" bestFit="1" customWidth="1"/>
    <col min="2570" max="2570" width="12.28515625" style="2" customWidth="1"/>
    <col min="2571" max="2801" width="11.5703125" style="2"/>
    <col min="2802" max="2802" width="32.42578125" style="2" customWidth="1"/>
    <col min="2803" max="2803" width="13.28515625" style="2" customWidth="1"/>
    <col min="2804" max="2804" width="11.85546875" style="2" customWidth="1"/>
    <col min="2805" max="2805" width="13.140625" style="2" customWidth="1"/>
    <col min="2806" max="2806" width="14.42578125" style="2" customWidth="1"/>
    <col min="2807" max="2807" width="12.85546875" style="2" customWidth="1"/>
    <col min="2808" max="2813" width="12.28515625" style="2" bestFit="1" customWidth="1"/>
    <col min="2814" max="2821" width="13.85546875" style="2" bestFit="1" customWidth="1"/>
    <col min="2822" max="2822" width="16.28515625" style="2" customWidth="1"/>
    <col min="2823" max="2824" width="11.5703125" style="2"/>
    <col min="2825" max="2825" width="11.7109375" style="2" bestFit="1" customWidth="1"/>
    <col min="2826" max="2826" width="12.28515625" style="2" customWidth="1"/>
    <col min="2827" max="3057" width="11.5703125" style="2"/>
    <col min="3058" max="3058" width="32.42578125" style="2" customWidth="1"/>
    <col min="3059" max="3059" width="13.28515625" style="2" customWidth="1"/>
    <col min="3060" max="3060" width="11.85546875" style="2" customWidth="1"/>
    <col min="3061" max="3061" width="13.140625" style="2" customWidth="1"/>
    <col min="3062" max="3062" width="14.42578125" style="2" customWidth="1"/>
    <col min="3063" max="3063" width="12.85546875" style="2" customWidth="1"/>
    <col min="3064" max="3069" width="12.28515625" style="2" bestFit="1" customWidth="1"/>
    <col min="3070" max="3077" width="13.85546875" style="2" bestFit="1" customWidth="1"/>
    <col min="3078" max="3078" width="16.28515625" style="2" customWidth="1"/>
    <col min="3079" max="3080" width="11.5703125" style="2"/>
    <col min="3081" max="3081" width="11.7109375" style="2" bestFit="1" customWidth="1"/>
    <col min="3082" max="3082" width="12.28515625" style="2" customWidth="1"/>
    <col min="3083" max="3313" width="11.5703125" style="2"/>
    <col min="3314" max="3314" width="32.42578125" style="2" customWidth="1"/>
    <col min="3315" max="3315" width="13.28515625" style="2" customWidth="1"/>
    <col min="3316" max="3316" width="11.85546875" style="2" customWidth="1"/>
    <col min="3317" max="3317" width="13.140625" style="2" customWidth="1"/>
    <col min="3318" max="3318" width="14.42578125" style="2" customWidth="1"/>
    <col min="3319" max="3319" width="12.85546875" style="2" customWidth="1"/>
    <col min="3320" max="3325" width="12.28515625" style="2" bestFit="1" customWidth="1"/>
    <col min="3326" max="3333" width="13.85546875" style="2" bestFit="1" customWidth="1"/>
    <col min="3334" max="3334" width="16.28515625" style="2" customWidth="1"/>
    <col min="3335" max="3336" width="11.5703125" style="2"/>
    <col min="3337" max="3337" width="11.7109375" style="2" bestFit="1" customWidth="1"/>
    <col min="3338" max="3338" width="12.28515625" style="2" customWidth="1"/>
    <col min="3339" max="3569" width="11.5703125" style="2"/>
    <col min="3570" max="3570" width="32.42578125" style="2" customWidth="1"/>
    <col min="3571" max="3571" width="13.28515625" style="2" customWidth="1"/>
    <col min="3572" max="3572" width="11.85546875" style="2" customWidth="1"/>
    <col min="3573" max="3573" width="13.140625" style="2" customWidth="1"/>
    <col min="3574" max="3574" width="14.42578125" style="2" customWidth="1"/>
    <col min="3575" max="3575" width="12.85546875" style="2" customWidth="1"/>
    <col min="3576" max="3581" width="12.28515625" style="2" bestFit="1" customWidth="1"/>
    <col min="3582" max="3589" width="13.85546875" style="2" bestFit="1" customWidth="1"/>
    <col min="3590" max="3590" width="16.28515625" style="2" customWidth="1"/>
    <col min="3591" max="3592" width="11.5703125" style="2"/>
    <col min="3593" max="3593" width="11.7109375" style="2" bestFit="1" customWidth="1"/>
    <col min="3594" max="3594" width="12.28515625" style="2" customWidth="1"/>
    <col min="3595" max="3825" width="11.5703125" style="2"/>
    <col min="3826" max="3826" width="32.42578125" style="2" customWidth="1"/>
    <col min="3827" max="3827" width="13.28515625" style="2" customWidth="1"/>
    <col min="3828" max="3828" width="11.85546875" style="2" customWidth="1"/>
    <col min="3829" max="3829" width="13.140625" style="2" customWidth="1"/>
    <col min="3830" max="3830" width="14.42578125" style="2" customWidth="1"/>
    <col min="3831" max="3831" width="12.85546875" style="2" customWidth="1"/>
    <col min="3832" max="3837" width="12.28515625" style="2" bestFit="1" customWidth="1"/>
    <col min="3838" max="3845" width="13.85546875" style="2" bestFit="1" customWidth="1"/>
    <col min="3846" max="3846" width="16.28515625" style="2" customWidth="1"/>
    <col min="3847" max="3848" width="11.5703125" style="2"/>
    <col min="3849" max="3849" width="11.7109375" style="2" bestFit="1" customWidth="1"/>
    <col min="3850" max="3850" width="12.28515625" style="2" customWidth="1"/>
    <col min="3851" max="4081" width="11.5703125" style="2"/>
    <col min="4082" max="4082" width="32.42578125" style="2" customWidth="1"/>
    <col min="4083" max="4083" width="13.28515625" style="2" customWidth="1"/>
    <col min="4084" max="4084" width="11.85546875" style="2" customWidth="1"/>
    <col min="4085" max="4085" width="13.140625" style="2" customWidth="1"/>
    <col min="4086" max="4086" width="14.42578125" style="2" customWidth="1"/>
    <col min="4087" max="4087" width="12.85546875" style="2" customWidth="1"/>
    <col min="4088" max="4093" width="12.28515625" style="2" bestFit="1" customWidth="1"/>
    <col min="4094" max="4101" width="13.85546875" style="2" bestFit="1" customWidth="1"/>
    <col min="4102" max="4102" width="16.28515625" style="2" customWidth="1"/>
    <col min="4103" max="4104" width="11.5703125" style="2"/>
    <col min="4105" max="4105" width="11.7109375" style="2" bestFit="1" customWidth="1"/>
    <col min="4106" max="4106" width="12.28515625" style="2" customWidth="1"/>
    <col min="4107" max="4337" width="11.5703125" style="2"/>
    <col min="4338" max="4338" width="32.42578125" style="2" customWidth="1"/>
    <col min="4339" max="4339" width="13.28515625" style="2" customWidth="1"/>
    <col min="4340" max="4340" width="11.85546875" style="2" customWidth="1"/>
    <col min="4341" max="4341" width="13.140625" style="2" customWidth="1"/>
    <col min="4342" max="4342" width="14.42578125" style="2" customWidth="1"/>
    <col min="4343" max="4343" width="12.85546875" style="2" customWidth="1"/>
    <col min="4344" max="4349" width="12.28515625" style="2" bestFit="1" customWidth="1"/>
    <col min="4350" max="4357" width="13.85546875" style="2" bestFit="1" customWidth="1"/>
    <col min="4358" max="4358" width="16.28515625" style="2" customWidth="1"/>
    <col min="4359" max="4360" width="11.5703125" style="2"/>
    <col min="4361" max="4361" width="11.7109375" style="2" bestFit="1" customWidth="1"/>
    <col min="4362" max="4362" width="12.28515625" style="2" customWidth="1"/>
    <col min="4363" max="4593" width="11.5703125" style="2"/>
    <col min="4594" max="4594" width="32.42578125" style="2" customWidth="1"/>
    <col min="4595" max="4595" width="13.28515625" style="2" customWidth="1"/>
    <col min="4596" max="4596" width="11.85546875" style="2" customWidth="1"/>
    <col min="4597" max="4597" width="13.140625" style="2" customWidth="1"/>
    <col min="4598" max="4598" width="14.42578125" style="2" customWidth="1"/>
    <col min="4599" max="4599" width="12.85546875" style="2" customWidth="1"/>
    <col min="4600" max="4605" width="12.28515625" style="2" bestFit="1" customWidth="1"/>
    <col min="4606" max="4613" width="13.85546875" style="2" bestFit="1" customWidth="1"/>
    <col min="4614" max="4614" width="16.28515625" style="2" customWidth="1"/>
    <col min="4615" max="4616" width="11.5703125" style="2"/>
    <col min="4617" max="4617" width="11.7109375" style="2" bestFit="1" customWidth="1"/>
    <col min="4618" max="4618" width="12.28515625" style="2" customWidth="1"/>
    <col min="4619" max="4849" width="11.5703125" style="2"/>
    <col min="4850" max="4850" width="32.42578125" style="2" customWidth="1"/>
    <col min="4851" max="4851" width="13.28515625" style="2" customWidth="1"/>
    <col min="4852" max="4852" width="11.85546875" style="2" customWidth="1"/>
    <col min="4853" max="4853" width="13.140625" style="2" customWidth="1"/>
    <col min="4854" max="4854" width="14.42578125" style="2" customWidth="1"/>
    <col min="4855" max="4855" width="12.85546875" style="2" customWidth="1"/>
    <col min="4856" max="4861" width="12.28515625" style="2" bestFit="1" customWidth="1"/>
    <col min="4862" max="4869" width="13.85546875" style="2" bestFit="1" customWidth="1"/>
    <col min="4870" max="4870" width="16.28515625" style="2" customWidth="1"/>
    <col min="4871" max="4872" width="11.5703125" style="2"/>
    <col min="4873" max="4873" width="11.7109375" style="2" bestFit="1" customWidth="1"/>
    <col min="4874" max="4874" width="12.28515625" style="2" customWidth="1"/>
    <col min="4875" max="5105" width="11.5703125" style="2"/>
    <col min="5106" max="5106" width="32.42578125" style="2" customWidth="1"/>
    <col min="5107" max="5107" width="13.28515625" style="2" customWidth="1"/>
    <col min="5108" max="5108" width="11.85546875" style="2" customWidth="1"/>
    <col min="5109" max="5109" width="13.140625" style="2" customWidth="1"/>
    <col min="5110" max="5110" width="14.42578125" style="2" customWidth="1"/>
    <col min="5111" max="5111" width="12.85546875" style="2" customWidth="1"/>
    <col min="5112" max="5117" width="12.28515625" style="2" bestFit="1" customWidth="1"/>
    <col min="5118" max="5125" width="13.85546875" style="2" bestFit="1" customWidth="1"/>
    <col min="5126" max="5126" width="16.28515625" style="2" customWidth="1"/>
    <col min="5127" max="5128" width="11.5703125" style="2"/>
    <col min="5129" max="5129" width="11.7109375" style="2" bestFit="1" customWidth="1"/>
    <col min="5130" max="5130" width="12.28515625" style="2" customWidth="1"/>
    <col min="5131" max="5361" width="11.5703125" style="2"/>
    <col min="5362" max="5362" width="32.42578125" style="2" customWidth="1"/>
    <col min="5363" max="5363" width="13.28515625" style="2" customWidth="1"/>
    <col min="5364" max="5364" width="11.85546875" style="2" customWidth="1"/>
    <col min="5365" max="5365" width="13.140625" style="2" customWidth="1"/>
    <col min="5366" max="5366" width="14.42578125" style="2" customWidth="1"/>
    <col min="5367" max="5367" width="12.85546875" style="2" customWidth="1"/>
    <col min="5368" max="5373" width="12.28515625" style="2" bestFit="1" customWidth="1"/>
    <col min="5374" max="5381" width="13.85546875" style="2" bestFit="1" customWidth="1"/>
    <col min="5382" max="5382" width="16.28515625" style="2" customWidth="1"/>
    <col min="5383" max="5384" width="11.5703125" style="2"/>
    <col min="5385" max="5385" width="11.7109375" style="2" bestFit="1" customWidth="1"/>
    <col min="5386" max="5386" width="12.28515625" style="2" customWidth="1"/>
    <col min="5387" max="5617" width="11.5703125" style="2"/>
    <col min="5618" max="5618" width="32.42578125" style="2" customWidth="1"/>
    <col min="5619" max="5619" width="13.28515625" style="2" customWidth="1"/>
    <col min="5620" max="5620" width="11.85546875" style="2" customWidth="1"/>
    <col min="5621" max="5621" width="13.140625" style="2" customWidth="1"/>
    <col min="5622" max="5622" width="14.42578125" style="2" customWidth="1"/>
    <col min="5623" max="5623" width="12.85546875" style="2" customWidth="1"/>
    <col min="5624" max="5629" width="12.28515625" style="2" bestFit="1" customWidth="1"/>
    <col min="5630" max="5637" width="13.85546875" style="2" bestFit="1" customWidth="1"/>
    <col min="5638" max="5638" width="16.28515625" style="2" customWidth="1"/>
    <col min="5639" max="5640" width="11.5703125" style="2"/>
    <col min="5641" max="5641" width="11.7109375" style="2" bestFit="1" customWidth="1"/>
    <col min="5642" max="5642" width="12.28515625" style="2" customWidth="1"/>
    <col min="5643" max="5873" width="11.5703125" style="2"/>
    <col min="5874" max="5874" width="32.42578125" style="2" customWidth="1"/>
    <col min="5875" max="5875" width="13.28515625" style="2" customWidth="1"/>
    <col min="5876" max="5876" width="11.85546875" style="2" customWidth="1"/>
    <col min="5877" max="5877" width="13.140625" style="2" customWidth="1"/>
    <col min="5878" max="5878" width="14.42578125" style="2" customWidth="1"/>
    <col min="5879" max="5879" width="12.85546875" style="2" customWidth="1"/>
    <col min="5880" max="5885" width="12.28515625" style="2" bestFit="1" customWidth="1"/>
    <col min="5886" max="5893" width="13.85546875" style="2" bestFit="1" customWidth="1"/>
    <col min="5894" max="5894" width="16.28515625" style="2" customWidth="1"/>
    <col min="5895" max="5896" width="11.5703125" style="2"/>
    <col min="5897" max="5897" width="11.7109375" style="2" bestFit="1" customWidth="1"/>
    <col min="5898" max="5898" width="12.28515625" style="2" customWidth="1"/>
    <col min="5899" max="6129" width="11.5703125" style="2"/>
    <col min="6130" max="6130" width="32.42578125" style="2" customWidth="1"/>
    <col min="6131" max="6131" width="13.28515625" style="2" customWidth="1"/>
    <col min="6132" max="6132" width="11.85546875" style="2" customWidth="1"/>
    <col min="6133" max="6133" width="13.140625" style="2" customWidth="1"/>
    <col min="6134" max="6134" width="14.42578125" style="2" customWidth="1"/>
    <col min="6135" max="6135" width="12.85546875" style="2" customWidth="1"/>
    <col min="6136" max="6141" width="12.28515625" style="2" bestFit="1" customWidth="1"/>
    <col min="6142" max="6149" width="13.85546875" style="2" bestFit="1" customWidth="1"/>
    <col min="6150" max="6150" width="16.28515625" style="2" customWidth="1"/>
    <col min="6151" max="6152" width="11.5703125" style="2"/>
    <col min="6153" max="6153" width="11.7109375" style="2" bestFit="1" customWidth="1"/>
    <col min="6154" max="6154" width="12.28515625" style="2" customWidth="1"/>
    <col min="6155" max="6385" width="11.5703125" style="2"/>
    <col min="6386" max="6386" width="32.42578125" style="2" customWidth="1"/>
    <col min="6387" max="6387" width="13.28515625" style="2" customWidth="1"/>
    <col min="6388" max="6388" width="11.85546875" style="2" customWidth="1"/>
    <col min="6389" max="6389" width="13.140625" style="2" customWidth="1"/>
    <col min="6390" max="6390" width="14.42578125" style="2" customWidth="1"/>
    <col min="6391" max="6391" width="12.85546875" style="2" customWidth="1"/>
    <col min="6392" max="6397" width="12.28515625" style="2" bestFit="1" customWidth="1"/>
    <col min="6398" max="6405" width="13.85546875" style="2" bestFit="1" customWidth="1"/>
    <col min="6406" max="6406" width="16.28515625" style="2" customWidth="1"/>
    <col min="6407" max="6408" width="11.5703125" style="2"/>
    <col min="6409" max="6409" width="11.7109375" style="2" bestFit="1" customWidth="1"/>
    <col min="6410" max="6410" width="12.28515625" style="2" customWidth="1"/>
    <col min="6411" max="6641" width="11.5703125" style="2"/>
    <col min="6642" max="6642" width="32.42578125" style="2" customWidth="1"/>
    <col min="6643" max="6643" width="13.28515625" style="2" customWidth="1"/>
    <col min="6644" max="6644" width="11.85546875" style="2" customWidth="1"/>
    <col min="6645" max="6645" width="13.140625" style="2" customWidth="1"/>
    <col min="6646" max="6646" width="14.42578125" style="2" customWidth="1"/>
    <col min="6647" max="6647" width="12.85546875" style="2" customWidth="1"/>
    <col min="6648" max="6653" width="12.28515625" style="2" bestFit="1" customWidth="1"/>
    <col min="6654" max="6661" width="13.85546875" style="2" bestFit="1" customWidth="1"/>
    <col min="6662" max="6662" width="16.28515625" style="2" customWidth="1"/>
    <col min="6663" max="6664" width="11.5703125" style="2"/>
    <col min="6665" max="6665" width="11.7109375" style="2" bestFit="1" customWidth="1"/>
    <col min="6666" max="6666" width="12.28515625" style="2" customWidth="1"/>
    <col min="6667" max="6897" width="11.5703125" style="2"/>
    <col min="6898" max="6898" width="32.42578125" style="2" customWidth="1"/>
    <col min="6899" max="6899" width="13.28515625" style="2" customWidth="1"/>
    <col min="6900" max="6900" width="11.85546875" style="2" customWidth="1"/>
    <col min="6901" max="6901" width="13.140625" style="2" customWidth="1"/>
    <col min="6902" max="6902" width="14.42578125" style="2" customWidth="1"/>
    <col min="6903" max="6903" width="12.85546875" style="2" customWidth="1"/>
    <col min="6904" max="6909" width="12.28515625" style="2" bestFit="1" customWidth="1"/>
    <col min="6910" max="6917" width="13.85546875" style="2" bestFit="1" customWidth="1"/>
    <col min="6918" max="6918" width="16.28515625" style="2" customWidth="1"/>
    <col min="6919" max="6920" width="11.5703125" style="2"/>
    <col min="6921" max="6921" width="11.7109375" style="2" bestFit="1" customWidth="1"/>
    <col min="6922" max="6922" width="12.28515625" style="2" customWidth="1"/>
    <col min="6923" max="7153" width="11.5703125" style="2"/>
    <col min="7154" max="7154" width="32.42578125" style="2" customWidth="1"/>
    <col min="7155" max="7155" width="13.28515625" style="2" customWidth="1"/>
    <col min="7156" max="7156" width="11.85546875" style="2" customWidth="1"/>
    <col min="7157" max="7157" width="13.140625" style="2" customWidth="1"/>
    <col min="7158" max="7158" width="14.42578125" style="2" customWidth="1"/>
    <col min="7159" max="7159" width="12.85546875" style="2" customWidth="1"/>
    <col min="7160" max="7165" width="12.28515625" style="2" bestFit="1" customWidth="1"/>
    <col min="7166" max="7173" width="13.85546875" style="2" bestFit="1" customWidth="1"/>
    <col min="7174" max="7174" width="16.28515625" style="2" customWidth="1"/>
    <col min="7175" max="7176" width="11.5703125" style="2"/>
    <col min="7177" max="7177" width="11.7109375" style="2" bestFit="1" customWidth="1"/>
    <col min="7178" max="7178" width="12.28515625" style="2" customWidth="1"/>
    <col min="7179" max="7409" width="11.5703125" style="2"/>
    <col min="7410" max="7410" width="32.42578125" style="2" customWidth="1"/>
    <col min="7411" max="7411" width="13.28515625" style="2" customWidth="1"/>
    <col min="7412" max="7412" width="11.85546875" style="2" customWidth="1"/>
    <col min="7413" max="7413" width="13.140625" style="2" customWidth="1"/>
    <col min="7414" max="7414" width="14.42578125" style="2" customWidth="1"/>
    <col min="7415" max="7415" width="12.85546875" style="2" customWidth="1"/>
    <col min="7416" max="7421" width="12.28515625" style="2" bestFit="1" customWidth="1"/>
    <col min="7422" max="7429" width="13.85546875" style="2" bestFit="1" customWidth="1"/>
    <col min="7430" max="7430" width="16.28515625" style="2" customWidth="1"/>
    <col min="7431" max="7432" width="11.5703125" style="2"/>
    <col min="7433" max="7433" width="11.7109375" style="2" bestFit="1" customWidth="1"/>
    <col min="7434" max="7434" width="12.28515625" style="2" customWidth="1"/>
    <col min="7435" max="7665" width="11.5703125" style="2"/>
    <col min="7666" max="7666" width="32.42578125" style="2" customWidth="1"/>
    <col min="7667" max="7667" width="13.28515625" style="2" customWidth="1"/>
    <col min="7668" max="7668" width="11.85546875" style="2" customWidth="1"/>
    <col min="7669" max="7669" width="13.140625" style="2" customWidth="1"/>
    <col min="7670" max="7670" width="14.42578125" style="2" customWidth="1"/>
    <col min="7671" max="7671" width="12.85546875" style="2" customWidth="1"/>
    <col min="7672" max="7677" width="12.28515625" style="2" bestFit="1" customWidth="1"/>
    <col min="7678" max="7685" width="13.85546875" style="2" bestFit="1" customWidth="1"/>
    <col min="7686" max="7686" width="16.28515625" style="2" customWidth="1"/>
    <col min="7687" max="7688" width="11.5703125" style="2"/>
    <col min="7689" max="7689" width="11.7109375" style="2" bestFit="1" customWidth="1"/>
    <col min="7690" max="7690" width="12.28515625" style="2" customWidth="1"/>
    <col min="7691" max="7921" width="11.5703125" style="2"/>
    <col min="7922" max="7922" width="32.42578125" style="2" customWidth="1"/>
    <col min="7923" max="7923" width="13.28515625" style="2" customWidth="1"/>
    <col min="7924" max="7924" width="11.85546875" style="2" customWidth="1"/>
    <col min="7925" max="7925" width="13.140625" style="2" customWidth="1"/>
    <col min="7926" max="7926" width="14.42578125" style="2" customWidth="1"/>
    <col min="7927" max="7927" width="12.85546875" style="2" customWidth="1"/>
    <col min="7928" max="7933" width="12.28515625" style="2" bestFit="1" customWidth="1"/>
    <col min="7934" max="7941" width="13.85546875" style="2" bestFit="1" customWidth="1"/>
    <col min="7942" max="7942" width="16.28515625" style="2" customWidth="1"/>
    <col min="7943" max="7944" width="11.5703125" style="2"/>
    <col min="7945" max="7945" width="11.7109375" style="2" bestFit="1" customWidth="1"/>
    <col min="7946" max="7946" width="12.28515625" style="2" customWidth="1"/>
    <col min="7947" max="8177" width="11.5703125" style="2"/>
    <col min="8178" max="8178" width="32.42578125" style="2" customWidth="1"/>
    <col min="8179" max="8179" width="13.28515625" style="2" customWidth="1"/>
    <col min="8180" max="8180" width="11.85546875" style="2" customWidth="1"/>
    <col min="8181" max="8181" width="13.140625" style="2" customWidth="1"/>
    <col min="8182" max="8182" width="14.42578125" style="2" customWidth="1"/>
    <col min="8183" max="8183" width="12.85546875" style="2" customWidth="1"/>
    <col min="8184" max="8189" width="12.28515625" style="2" bestFit="1" customWidth="1"/>
    <col min="8190" max="8197" width="13.85546875" style="2" bestFit="1" customWidth="1"/>
    <col min="8198" max="8198" width="16.28515625" style="2" customWidth="1"/>
    <col min="8199" max="8200" width="11.5703125" style="2"/>
    <col min="8201" max="8201" width="11.7109375" style="2" bestFit="1" customWidth="1"/>
    <col min="8202" max="8202" width="12.28515625" style="2" customWidth="1"/>
    <col min="8203" max="8433" width="11.5703125" style="2"/>
    <col min="8434" max="8434" width="32.42578125" style="2" customWidth="1"/>
    <col min="8435" max="8435" width="13.28515625" style="2" customWidth="1"/>
    <col min="8436" max="8436" width="11.85546875" style="2" customWidth="1"/>
    <col min="8437" max="8437" width="13.140625" style="2" customWidth="1"/>
    <col min="8438" max="8438" width="14.42578125" style="2" customWidth="1"/>
    <col min="8439" max="8439" width="12.85546875" style="2" customWidth="1"/>
    <col min="8440" max="8445" width="12.28515625" style="2" bestFit="1" customWidth="1"/>
    <col min="8446" max="8453" width="13.85546875" style="2" bestFit="1" customWidth="1"/>
    <col min="8454" max="8454" width="16.28515625" style="2" customWidth="1"/>
    <col min="8455" max="8456" width="11.5703125" style="2"/>
    <col min="8457" max="8457" width="11.7109375" style="2" bestFit="1" customWidth="1"/>
    <col min="8458" max="8458" width="12.28515625" style="2" customWidth="1"/>
    <col min="8459" max="8689" width="11.5703125" style="2"/>
    <col min="8690" max="8690" width="32.42578125" style="2" customWidth="1"/>
    <col min="8691" max="8691" width="13.28515625" style="2" customWidth="1"/>
    <col min="8692" max="8692" width="11.85546875" style="2" customWidth="1"/>
    <col min="8693" max="8693" width="13.140625" style="2" customWidth="1"/>
    <col min="8694" max="8694" width="14.42578125" style="2" customWidth="1"/>
    <col min="8695" max="8695" width="12.85546875" style="2" customWidth="1"/>
    <col min="8696" max="8701" width="12.28515625" style="2" bestFit="1" customWidth="1"/>
    <col min="8702" max="8709" width="13.85546875" style="2" bestFit="1" customWidth="1"/>
    <col min="8710" max="8710" width="16.28515625" style="2" customWidth="1"/>
    <col min="8711" max="8712" width="11.5703125" style="2"/>
    <col min="8713" max="8713" width="11.7109375" style="2" bestFit="1" customWidth="1"/>
    <col min="8714" max="8714" width="12.28515625" style="2" customWidth="1"/>
    <col min="8715" max="8945" width="11.5703125" style="2"/>
    <col min="8946" max="8946" width="32.42578125" style="2" customWidth="1"/>
    <col min="8947" max="8947" width="13.28515625" style="2" customWidth="1"/>
    <col min="8948" max="8948" width="11.85546875" style="2" customWidth="1"/>
    <col min="8949" max="8949" width="13.140625" style="2" customWidth="1"/>
    <col min="8950" max="8950" width="14.42578125" style="2" customWidth="1"/>
    <col min="8951" max="8951" width="12.85546875" style="2" customWidth="1"/>
    <col min="8952" max="8957" width="12.28515625" style="2" bestFit="1" customWidth="1"/>
    <col min="8958" max="8965" width="13.85546875" style="2" bestFit="1" customWidth="1"/>
    <col min="8966" max="8966" width="16.28515625" style="2" customWidth="1"/>
    <col min="8967" max="8968" width="11.5703125" style="2"/>
    <col min="8969" max="8969" width="11.7109375" style="2" bestFit="1" customWidth="1"/>
    <col min="8970" max="8970" width="12.28515625" style="2" customWidth="1"/>
    <col min="8971" max="9201" width="11.5703125" style="2"/>
    <col min="9202" max="9202" width="32.42578125" style="2" customWidth="1"/>
    <col min="9203" max="9203" width="13.28515625" style="2" customWidth="1"/>
    <col min="9204" max="9204" width="11.85546875" style="2" customWidth="1"/>
    <col min="9205" max="9205" width="13.140625" style="2" customWidth="1"/>
    <col min="9206" max="9206" width="14.42578125" style="2" customWidth="1"/>
    <col min="9207" max="9207" width="12.85546875" style="2" customWidth="1"/>
    <col min="9208" max="9213" width="12.28515625" style="2" bestFit="1" customWidth="1"/>
    <col min="9214" max="9221" width="13.85546875" style="2" bestFit="1" customWidth="1"/>
    <col min="9222" max="9222" width="16.28515625" style="2" customWidth="1"/>
    <col min="9223" max="9224" width="11.5703125" style="2"/>
    <col min="9225" max="9225" width="11.7109375" style="2" bestFit="1" customWidth="1"/>
    <col min="9226" max="9226" width="12.28515625" style="2" customWidth="1"/>
    <col min="9227" max="9457" width="11.5703125" style="2"/>
    <col min="9458" max="9458" width="32.42578125" style="2" customWidth="1"/>
    <col min="9459" max="9459" width="13.28515625" style="2" customWidth="1"/>
    <col min="9460" max="9460" width="11.85546875" style="2" customWidth="1"/>
    <col min="9461" max="9461" width="13.140625" style="2" customWidth="1"/>
    <col min="9462" max="9462" width="14.42578125" style="2" customWidth="1"/>
    <col min="9463" max="9463" width="12.85546875" style="2" customWidth="1"/>
    <col min="9464" max="9469" width="12.28515625" style="2" bestFit="1" customWidth="1"/>
    <col min="9470" max="9477" width="13.85546875" style="2" bestFit="1" customWidth="1"/>
    <col min="9478" max="9478" width="16.28515625" style="2" customWidth="1"/>
    <col min="9479" max="9480" width="11.5703125" style="2"/>
    <col min="9481" max="9481" width="11.7109375" style="2" bestFit="1" customWidth="1"/>
    <col min="9482" max="9482" width="12.28515625" style="2" customWidth="1"/>
    <col min="9483" max="9713" width="11.5703125" style="2"/>
    <col min="9714" max="9714" width="32.42578125" style="2" customWidth="1"/>
    <col min="9715" max="9715" width="13.28515625" style="2" customWidth="1"/>
    <col min="9716" max="9716" width="11.85546875" style="2" customWidth="1"/>
    <col min="9717" max="9717" width="13.140625" style="2" customWidth="1"/>
    <col min="9718" max="9718" width="14.42578125" style="2" customWidth="1"/>
    <col min="9719" max="9719" width="12.85546875" style="2" customWidth="1"/>
    <col min="9720" max="9725" width="12.28515625" style="2" bestFit="1" customWidth="1"/>
    <col min="9726" max="9733" width="13.85546875" style="2" bestFit="1" customWidth="1"/>
    <col min="9734" max="9734" width="16.28515625" style="2" customWidth="1"/>
    <col min="9735" max="9736" width="11.5703125" style="2"/>
    <col min="9737" max="9737" width="11.7109375" style="2" bestFit="1" customWidth="1"/>
    <col min="9738" max="9738" width="12.28515625" style="2" customWidth="1"/>
    <col min="9739" max="9969" width="11.5703125" style="2"/>
    <col min="9970" max="9970" width="32.42578125" style="2" customWidth="1"/>
    <col min="9971" max="9971" width="13.28515625" style="2" customWidth="1"/>
    <col min="9972" max="9972" width="11.85546875" style="2" customWidth="1"/>
    <col min="9973" max="9973" width="13.140625" style="2" customWidth="1"/>
    <col min="9974" max="9974" width="14.42578125" style="2" customWidth="1"/>
    <col min="9975" max="9975" width="12.85546875" style="2" customWidth="1"/>
    <col min="9976" max="9981" width="12.28515625" style="2" bestFit="1" customWidth="1"/>
    <col min="9982" max="9989" width="13.85546875" style="2" bestFit="1" customWidth="1"/>
    <col min="9990" max="9990" width="16.28515625" style="2" customWidth="1"/>
    <col min="9991" max="9992" width="11.5703125" style="2"/>
    <col min="9993" max="9993" width="11.7109375" style="2" bestFit="1" customWidth="1"/>
    <col min="9994" max="9994" width="12.28515625" style="2" customWidth="1"/>
    <col min="9995" max="10225" width="11.5703125" style="2"/>
    <col min="10226" max="10226" width="32.42578125" style="2" customWidth="1"/>
    <col min="10227" max="10227" width="13.28515625" style="2" customWidth="1"/>
    <col min="10228" max="10228" width="11.85546875" style="2" customWidth="1"/>
    <col min="10229" max="10229" width="13.140625" style="2" customWidth="1"/>
    <col min="10230" max="10230" width="14.42578125" style="2" customWidth="1"/>
    <col min="10231" max="10231" width="12.85546875" style="2" customWidth="1"/>
    <col min="10232" max="10237" width="12.28515625" style="2" bestFit="1" customWidth="1"/>
    <col min="10238" max="10245" width="13.85546875" style="2" bestFit="1" customWidth="1"/>
    <col min="10246" max="10246" width="16.28515625" style="2" customWidth="1"/>
    <col min="10247" max="10248" width="11.5703125" style="2"/>
    <col min="10249" max="10249" width="11.7109375" style="2" bestFit="1" customWidth="1"/>
    <col min="10250" max="10250" width="12.28515625" style="2" customWidth="1"/>
    <col min="10251" max="10481" width="11.5703125" style="2"/>
    <col min="10482" max="10482" width="32.42578125" style="2" customWidth="1"/>
    <col min="10483" max="10483" width="13.28515625" style="2" customWidth="1"/>
    <col min="10484" max="10484" width="11.85546875" style="2" customWidth="1"/>
    <col min="10485" max="10485" width="13.140625" style="2" customWidth="1"/>
    <col min="10486" max="10486" width="14.42578125" style="2" customWidth="1"/>
    <col min="10487" max="10487" width="12.85546875" style="2" customWidth="1"/>
    <col min="10488" max="10493" width="12.28515625" style="2" bestFit="1" customWidth="1"/>
    <col min="10494" max="10501" width="13.85546875" style="2" bestFit="1" customWidth="1"/>
    <col min="10502" max="10502" width="16.28515625" style="2" customWidth="1"/>
    <col min="10503" max="10504" width="11.5703125" style="2"/>
    <col min="10505" max="10505" width="11.7109375" style="2" bestFit="1" customWidth="1"/>
    <col min="10506" max="10506" width="12.28515625" style="2" customWidth="1"/>
    <col min="10507" max="10737" width="11.5703125" style="2"/>
    <col min="10738" max="10738" width="32.42578125" style="2" customWidth="1"/>
    <col min="10739" max="10739" width="13.28515625" style="2" customWidth="1"/>
    <col min="10740" max="10740" width="11.85546875" style="2" customWidth="1"/>
    <col min="10741" max="10741" width="13.140625" style="2" customWidth="1"/>
    <col min="10742" max="10742" width="14.42578125" style="2" customWidth="1"/>
    <col min="10743" max="10743" width="12.85546875" style="2" customWidth="1"/>
    <col min="10744" max="10749" width="12.28515625" style="2" bestFit="1" customWidth="1"/>
    <col min="10750" max="10757" width="13.85546875" style="2" bestFit="1" customWidth="1"/>
    <col min="10758" max="10758" width="16.28515625" style="2" customWidth="1"/>
    <col min="10759" max="10760" width="11.5703125" style="2"/>
    <col min="10761" max="10761" width="11.7109375" style="2" bestFit="1" customWidth="1"/>
    <col min="10762" max="10762" width="12.28515625" style="2" customWidth="1"/>
    <col min="10763" max="10993" width="11.5703125" style="2"/>
    <col min="10994" max="10994" width="32.42578125" style="2" customWidth="1"/>
    <col min="10995" max="10995" width="13.28515625" style="2" customWidth="1"/>
    <col min="10996" max="10996" width="11.85546875" style="2" customWidth="1"/>
    <col min="10997" max="10997" width="13.140625" style="2" customWidth="1"/>
    <col min="10998" max="10998" width="14.42578125" style="2" customWidth="1"/>
    <col min="10999" max="10999" width="12.85546875" style="2" customWidth="1"/>
    <col min="11000" max="11005" width="12.28515625" style="2" bestFit="1" customWidth="1"/>
    <col min="11006" max="11013" width="13.85546875" style="2" bestFit="1" customWidth="1"/>
    <col min="11014" max="11014" width="16.28515625" style="2" customWidth="1"/>
    <col min="11015" max="11016" width="11.5703125" style="2"/>
    <col min="11017" max="11017" width="11.7109375" style="2" bestFit="1" customWidth="1"/>
    <col min="11018" max="11018" width="12.28515625" style="2" customWidth="1"/>
    <col min="11019" max="11249" width="11.5703125" style="2"/>
    <col min="11250" max="11250" width="32.42578125" style="2" customWidth="1"/>
    <col min="11251" max="11251" width="13.28515625" style="2" customWidth="1"/>
    <col min="11252" max="11252" width="11.85546875" style="2" customWidth="1"/>
    <col min="11253" max="11253" width="13.140625" style="2" customWidth="1"/>
    <col min="11254" max="11254" width="14.42578125" style="2" customWidth="1"/>
    <col min="11255" max="11255" width="12.85546875" style="2" customWidth="1"/>
    <col min="11256" max="11261" width="12.28515625" style="2" bestFit="1" customWidth="1"/>
    <col min="11262" max="11269" width="13.85546875" style="2" bestFit="1" customWidth="1"/>
    <col min="11270" max="11270" width="16.28515625" style="2" customWidth="1"/>
    <col min="11271" max="11272" width="11.5703125" style="2"/>
    <col min="11273" max="11273" width="11.7109375" style="2" bestFit="1" customWidth="1"/>
    <col min="11274" max="11274" width="12.28515625" style="2" customWidth="1"/>
    <col min="11275" max="11505" width="11.5703125" style="2"/>
    <col min="11506" max="11506" width="32.42578125" style="2" customWidth="1"/>
    <col min="11507" max="11507" width="13.28515625" style="2" customWidth="1"/>
    <col min="11508" max="11508" width="11.85546875" style="2" customWidth="1"/>
    <col min="11509" max="11509" width="13.140625" style="2" customWidth="1"/>
    <col min="11510" max="11510" width="14.42578125" style="2" customWidth="1"/>
    <col min="11511" max="11511" width="12.85546875" style="2" customWidth="1"/>
    <col min="11512" max="11517" width="12.28515625" style="2" bestFit="1" customWidth="1"/>
    <col min="11518" max="11525" width="13.85546875" style="2" bestFit="1" customWidth="1"/>
    <col min="11526" max="11526" width="16.28515625" style="2" customWidth="1"/>
    <col min="11527" max="11528" width="11.5703125" style="2"/>
    <col min="11529" max="11529" width="11.7109375" style="2" bestFit="1" customWidth="1"/>
    <col min="11530" max="11530" width="12.28515625" style="2" customWidth="1"/>
    <col min="11531" max="11761" width="11.5703125" style="2"/>
    <col min="11762" max="11762" width="32.42578125" style="2" customWidth="1"/>
    <col min="11763" max="11763" width="13.28515625" style="2" customWidth="1"/>
    <col min="11764" max="11764" width="11.85546875" style="2" customWidth="1"/>
    <col min="11765" max="11765" width="13.140625" style="2" customWidth="1"/>
    <col min="11766" max="11766" width="14.42578125" style="2" customWidth="1"/>
    <col min="11767" max="11767" width="12.85546875" style="2" customWidth="1"/>
    <col min="11768" max="11773" width="12.28515625" style="2" bestFit="1" customWidth="1"/>
    <col min="11774" max="11781" width="13.85546875" style="2" bestFit="1" customWidth="1"/>
    <col min="11782" max="11782" width="16.28515625" style="2" customWidth="1"/>
    <col min="11783" max="11784" width="11.5703125" style="2"/>
    <col min="11785" max="11785" width="11.7109375" style="2" bestFit="1" customWidth="1"/>
    <col min="11786" max="11786" width="12.28515625" style="2" customWidth="1"/>
    <col min="11787" max="12017" width="11.5703125" style="2"/>
    <col min="12018" max="12018" width="32.42578125" style="2" customWidth="1"/>
    <col min="12019" max="12019" width="13.28515625" style="2" customWidth="1"/>
    <col min="12020" max="12020" width="11.85546875" style="2" customWidth="1"/>
    <col min="12021" max="12021" width="13.140625" style="2" customWidth="1"/>
    <col min="12022" max="12022" width="14.42578125" style="2" customWidth="1"/>
    <col min="12023" max="12023" width="12.85546875" style="2" customWidth="1"/>
    <col min="12024" max="12029" width="12.28515625" style="2" bestFit="1" customWidth="1"/>
    <col min="12030" max="12037" width="13.85546875" style="2" bestFit="1" customWidth="1"/>
    <col min="12038" max="12038" width="16.28515625" style="2" customWidth="1"/>
    <col min="12039" max="12040" width="11.5703125" style="2"/>
    <col min="12041" max="12041" width="11.7109375" style="2" bestFit="1" customWidth="1"/>
    <col min="12042" max="12042" width="12.28515625" style="2" customWidth="1"/>
    <col min="12043" max="12273" width="11.5703125" style="2"/>
    <col min="12274" max="12274" width="32.42578125" style="2" customWidth="1"/>
    <col min="12275" max="12275" width="13.28515625" style="2" customWidth="1"/>
    <col min="12276" max="12276" width="11.85546875" style="2" customWidth="1"/>
    <col min="12277" max="12277" width="13.140625" style="2" customWidth="1"/>
    <col min="12278" max="12278" width="14.42578125" style="2" customWidth="1"/>
    <col min="12279" max="12279" width="12.85546875" style="2" customWidth="1"/>
    <col min="12280" max="12285" width="12.28515625" style="2" bestFit="1" customWidth="1"/>
    <col min="12286" max="12293" width="13.85546875" style="2" bestFit="1" customWidth="1"/>
    <col min="12294" max="12294" width="16.28515625" style="2" customWidth="1"/>
    <col min="12295" max="12296" width="11.5703125" style="2"/>
    <col min="12297" max="12297" width="11.7109375" style="2" bestFit="1" customWidth="1"/>
    <col min="12298" max="12298" width="12.28515625" style="2" customWidth="1"/>
    <col min="12299" max="12529" width="11.5703125" style="2"/>
    <col min="12530" max="12530" width="32.42578125" style="2" customWidth="1"/>
    <col min="12531" max="12531" width="13.28515625" style="2" customWidth="1"/>
    <col min="12532" max="12532" width="11.85546875" style="2" customWidth="1"/>
    <col min="12533" max="12533" width="13.140625" style="2" customWidth="1"/>
    <col min="12534" max="12534" width="14.42578125" style="2" customWidth="1"/>
    <col min="12535" max="12535" width="12.85546875" style="2" customWidth="1"/>
    <col min="12536" max="12541" width="12.28515625" style="2" bestFit="1" customWidth="1"/>
    <col min="12542" max="12549" width="13.85546875" style="2" bestFit="1" customWidth="1"/>
    <col min="12550" max="12550" width="16.28515625" style="2" customWidth="1"/>
    <col min="12551" max="12552" width="11.5703125" style="2"/>
    <col min="12553" max="12553" width="11.7109375" style="2" bestFit="1" customWidth="1"/>
    <col min="12554" max="12554" width="12.28515625" style="2" customWidth="1"/>
    <col min="12555" max="12785" width="11.5703125" style="2"/>
    <col min="12786" max="12786" width="32.42578125" style="2" customWidth="1"/>
    <col min="12787" max="12787" width="13.28515625" style="2" customWidth="1"/>
    <col min="12788" max="12788" width="11.85546875" style="2" customWidth="1"/>
    <col min="12789" max="12789" width="13.140625" style="2" customWidth="1"/>
    <col min="12790" max="12790" width="14.42578125" style="2" customWidth="1"/>
    <col min="12791" max="12791" width="12.85546875" style="2" customWidth="1"/>
    <col min="12792" max="12797" width="12.28515625" style="2" bestFit="1" customWidth="1"/>
    <col min="12798" max="12805" width="13.85546875" style="2" bestFit="1" customWidth="1"/>
    <col min="12806" max="12806" width="16.28515625" style="2" customWidth="1"/>
    <col min="12807" max="12808" width="11.5703125" style="2"/>
    <col min="12809" max="12809" width="11.7109375" style="2" bestFit="1" customWidth="1"/>
    <col min="12810" max="12810" width="12.28515625" style="2" customWidth="1"/>
    <col min="12811" max="13041" width="11.5703125" style="2"/>
    <col min="13042" max="13042" width="32.42578125" style="2" customWidth="1"/>
    <col min="13043" max="13043" width="13.28515625" style="2" customWidth="1"/>
    <col min="13044" max="13044" width="11.85546875" style="2" customWidth="1"/>
    <col min="13045" max="13045" width="13.140625" style="2" customWidth="1"/>
    <col min="13046" max="13046" width="14.42578125" style="2" customWidth="1"/>
    <col min="13047" max="13047" width="12.85546875" style="2" customWidth="1"/>
    <col min="13048" max="13053" width="12.28515625" style="2" bestFit="1" customWidth="1"/>
    <col min="13054" max="13061" width="13.85546875" style="2" bestFit="1" customWidth="1"/>
    <col min="13062" max="13062" width="16.28515625" style="2" customWidth="1"/>
    <col min="13063" max="13064" width="11.5703125" style="2"/>
    <col min="13065" max="13065" width="11.7109375" style="2" bestFit="1" customWidth="1"/>
    <col min="13066" max="13066" width="12.28515625" style="2" customWidth="1"/>
    <col min="13067" max="13297" width="11.5703125" style="2"/>
    <col min="13298" max="13298" width="32.42578125" style="2" customWidth="1"/>
    <col min="13299" max="13299" width="13.28515625" style="2" customWidth="1"/>
    <col min="13300" max="13300" width="11.85546875" style="2" customWidth="1"/>
    <col min="13301" max="13301" width="13.140625" style="2" customWidth="1"/>
    <col min="13302" max="13302" width="14.42578125" style="2" customWidth="1"/>
    <col min="13303" max="13303" width="12.85546875" style="2" customWidth="1"/>
    <col min="13304" max="13309" width="12.28515625" style="2" bestFit="1" customWidth="1"/>
    <col min="13310" max="13317" width="13.85546875" style="2" bestFit="1" customWidth="1"/>
    <col min="13318" max="13318" width="16.28515625" style="2" customWidth="1"/>
    <col min="13319" max="13320" width="11.5703125" style="2"/>
    <col min="13321" max="13321" width="11.7109375" style="2" bestFit="1" customWidth="1"/>
    <col min="13322" max="13322" width="12.28515625" style="2" customWidth="1"/>
    <col min="13323" max="13553" width="11.5703125" style="2"/>
    <col min="13554" max="13554" width="32.42578125" style="2" customWidth="1"/>
    <col min="13555" max="13555" width="13.28515625" style="2" customWidth="1"/>
    <col min="13556" max="13556" width="11.85546875" style="2" customWidth="1"/>
    <col min="13557" max="13557" width="13.140625" style="2" customWidth="1"/>
    <col min="13558" max="13558" width="14.42578125" style="2" customWidth="1"/>
    <col min="13559" max="13559" width="12.85546875" style="2" customWidth="1"/>
    <col min="13560" max="13565" width="12.28515625" style="2" bestFit="1" customWidth="1"/>
    <col min="13566" max="13573" width="13.85546875" style="2" bestFit="1" customWidth="1"/>
    <col min="13574" max="13574" width="16.28515625" style="2" customWidth="1"/>
    <col min="13575" max="13576" width="11.5703125" style="2"/>
    <col min="13577" max="13577" width="11.7109375" style="2" bestFit="1" customWidth="1"/>
    <col min="13578" max="13578" width="12.28515625" style="2" customWidth="1"/>
    <col min="13579" max="13809" width="11.5703125" style="2"/>
    <col min="13810" max="13810" width="32.42578125" style="2" customWidth="1"/>
    <col min="13811" max="13811" width="13.28515625" style="2" customWidth="1"/>
    <col min="13812" max="13812" width="11.85546875" style="2" customWidth="1"/>
    <col min="13813" max="13813" width="13.140625" style="2" customWidth="1"/>
    <col min="13814" max="13814" width="14.42578125" style="2" customWidth="1"/>
    <col min="13815" max="13815" width="12.85546875" style="2" customWidth="1"/>
    <col min="13816" max="13821" width="12.28515625" style="2" bestFit="1" customWidth="1"/>
    <col min="13822" max="13829" width="13.85546875" style="2" bestFit="1" customWidth="1"/>
    <col min="13830" max="13830" width="16.28515625" style="2" customWidth="1"/>
    <col min="13831" max="13832" width="11.5703125" style="2"/>
    <col min="13833" max="13833" width="11.7109375" style="2" bestFit="1" customWidth="1"/>
    <col min="13834" max="13834" width="12.28515625" style="2" customWidth="1"/>
    <col min="13835" max="14065" width="11.5703125" style="2"/>
    <col min="14066" max="14066" width="32.42578125" style="2" customWidth="1"/>
    <col min="14067" max="14067" width="13.28515625" style="2" customWidth="1"/>
    <col min="14068" max="14068" width="11.85546875" style="2" customWidth="1"/>
    <col min="14069" max="14069" width="13.140625" style="2" customWidth="1"/>
    <col min="14070" max="14070" width="14.42578125" style="2" customWidth="1"/>
    <col min="14071" max="14071" width="12.85546875" style="2" customWidth="1"/>
    <col min="14072" max="14077" width="12.28515625" style="2" bestFit="1" customWidth="1"/>
    <col min="14078" max="14085" width="13.85546875" style="2" bestFit="1" customWidth="1"/>
    <col min="14086" max="14086" width="16.28515625" style="2" customWidth="1"/>
    <col min="14087" max="14088" width="11.5703125" style="2"/>
    <col min="14089" max="14089" width="11.7109375" style="2" bestFit="1" customWidth="1"/>
    <col min="14090" max="14090" width="12.28515625" style="2" customWidth="1"/>
    <col min="14091" max="14321" width="11.5703125" style="2"/>
    <col min="14322" max="14322" width="32.42578125" style="2" customWidth="1"/>
    <col min="14323" max="14323" width="13.28515625" style="2" customWidth="1"/>
    <col min="14324" max="14324" width="11.85546875" style="2" customWidth="1"/>
    <col min="14325" max="14325" width="13.140625" style="2" customWidth="1"/>
    <col min="14326" max="14326" width="14.42578125" style="2" customWidth="1"/>
    <col min="14327" max="14327" width="12.85546875" style="2" customWidth="1"/>
    <col min="14328" max="14333" width="12.28515625" style="2" bestFit="1" customWidth="1"/>
    <col min="14334" max="14341" width="13.85546875" style="2" bestFit="1" customWidth="1"/>
    <col min="14342" max="14342" width="16.28515625" style="2" customWidth="1"/>
    <col min="14343" max="14344" width="11.5703125" style="2"/>
    <col min="14345" max="14345" width="11.7109375" style="2" bestFit="1" customWidth="1"/>
    <col min="14346" max="14346" width="12.28515625" style="2" customWidth="1"/>
    <col min="14347" max="14577" width="11.5703125" style="2"/>
    <col min="14578" max="14578" width="32.42578125" style="2" customWidth="1"/>
    <col min="14579" max="14579" width="13.28515625" style="2" customWidth="1"/>
    <col min="14580" max="14580" width="11.85546875" style="2" customWidth="1"/>
    <col min="14581" max="14581" width="13.140625" style="2" customWidth="1"/>
    <col min="14582" max="14582" width="14.42578125" style="2" customWidth="1"/>
    <col min="14583" max="14583" width="12.85546875" style="2" customWidth="1"/>
    <col min="14584" max="14589" width="12.28515625" style="2" bestFit="1" customWidth="1"/>
    <col min="14590" max="14597" width="13.85546875" style="2" bestFit="1" customWidth="1"/>
    <col min="14598" max="14598" width="16.28515625" style="2" customWidth="1"/>
    <col min="14599" max="14600" width="11.5703125" style="2"/>
    <col min="14601" max="14601" width="11.7109375" style="2" bestFit="1" customWidth="1"/>
    <col min="14602" max="14602" width="12.28515625" style="2" customWidth="1"/>
    <col min="14603" max="14833" width="11.5703125" style="2"/>
    <col min="14834" max="14834" width="32.42578125" style="2" customWidth="1"/>
    <col min="14835" max="14835" width="13.28515625" style="2" customWidth="1"/>
    <col min="14836" max="14836" width="11.85546875" style="2" customWidth="1"/>
    <col min="14837" max="14837" width="13.140625" style="2" customWidth="1"/>
    <col min="14838" max="14838" width="14.42578125" style="2" customWidth="1"/>
    <col min="14839" max="14839" width="12.85546875" style="2" customWidth="1"/>
    <col min="14840" max="14845" width="12.28515625" style="2" bestFit="1" customWidth="1"/>
    <col min="14846" max="14853" width="13.85546875" style="2" bestFit="1" customWidth="1"/>
    <col min="14854" max="14854" width="16.28515625" style="2" customWidth="1"/>
    <col min="14855" max="14856" width="11.5703125" style="2"/>
    <col min="14857" max="14857" width="11.7109375" style="2" bestFit="1" customWidth="1"/>
    <col min="14858" max="14858" width="12.28515625" style="2" customWidth="1"/>
    <col min="14859" max="15089" width="11.5703125" style="2"/>
    <col min="15090" max="15090" width="32.42578125" style="2" customWidth="1"/>
    <col min="15091" max="15091" width="13.28515625" style="2" customWidth="1"/>
    <col min="15092" max="15092" width="11.85546875" style="2" customWidth="1"/>
    <col min="15093" max="15093" width="13.140625" style="2" customWidth="1"/>
    <col min="15094" max="15094" width="14.42578125" style="2" customWidth="1"/>
    <col min="15095" max="15095" width="12.85546875" style="2" customWidth="1"/>
    <col min="15096" max="15101" width="12.28515625" style="2" bestFit="1" customWidth="1"/>
    <col min="15102" max="15109" width="13.85546875" style="2" bestFit="1" customWidth="1"/>
    <col min="15110" max="15110" width="16.28515625" style="2" customWidth="1"/>
    <col min="15111" max="15112" width="11.5703125" style="2"/>
    <col min="15113" max="15113" width="11.7109375" style="2" bestFit="1" customWidth="1"/>
    <col min="15114" max="15114" width="12.28515625" style="2" customWidth="1"/>
    <col min="15115" max="15345" width="11.5703125" style="2"/>
    <col min="15346" max="15346" width="32.42578125" style="2" customWidth="1"/>
    <col min="15347" max="15347" width="13.28515625" style="2" customWidth="1"/>
    <col min="15348" max="15348" width="11.85546875" style="2" customWidth="1"/>
    <col min="15349" max="15349" width="13.140625" style="2" customWidth="1"/>
    <col min="15350" max="15350" width="14.42578125" style="2" customWidth="1"/>
    <col min="15351" max="15351" width="12.85546875" style="2" customWidth="1"/>
    <col min="15352" max="15357" width="12.28515625" style="2" bestFit="1" customWidth="1"/>
    <col min="15358" max="15365" width="13.85546875" style="2" bestFit="1" customWidth="1"/>
    <col min="15366" max="15366" width="16.28515625" style="2" customWidth="1"/>
    <col min="15367" max="15368" width="11.5703125" style="2"/>
    <col min="15369" max="15369" width="11.7109375" style="2" bestFit="1" customWidth="1"/>
    <col min="15370" max="15370" width="12.28515625" style="2" customWidth="1"/>
    <col min="15371" max="15601" width="11.5703125" style="2"/>
    <col min="15602" max="15602" width="32.42578125" style="2" customWidth="1"/>
    <col min="15603" max="15603" width="13.28515625" style="2" customWidth="1"/>
    <col min="15604" max="15604" width="11.85546875" style="2" customWidth="1"/>
    <col min="15605" max="15605" width="13.140625" style="2" customWidth="1"/>
    <col min="15606" max="15606" width="14.42578125" style="2" customWidth="1"/>
    <col min="15607" max="15607" width="12.85546875" style="2" customWidth="1"/>
    <col min="15608" max="15613" width="12.28515625" style="2" bestFit="1" customWidth="1"/>
    <col min="15614" max="15621" width="13.85546875" style="2" bestFit="1" customWidth="1"/>
    <col min="15622" max="15622" width="16.28515625" style="2" customWidth="1"/>
    <col min="15623" max="15624" width="11.5703125" style="2"/>
    <col min="15625" max="15625" width="11.7109375" style="2" bestFit="1" customWidth="1"/>
    <col min="15626" max="15626" width="12.28515625" style="2" customWidth="1"/>
    <col min="15627" max="15857" width="11.5703125" style="2"/>
    <col min="15858" max="15858" width="32.42578125" style="2" customWidth="1"/>
    <col min="15859" max="15859" width="13.28515625" style="2" customWidth="1"/>
    <col min="15860" max="15860" width="11.85546875" style="2" customWidth="1"/>
    <col min="15861" max="15861" width="13.140625" style="2" customWidth="1"/>
    <col min="15862" max="15862" width="14.42578125" style="2" customWidth="1"/>
    <col min="15863" max="15863" width="12.85546875" style="2" customWidth="1"/>
    <col min="15864" max="15869" width="12.28515625" style="2" bestFit="1" customWidth="1"/>
    <col min="15870" max="15877" width="13.85546875" style="2" bestFit="1" customWidth="1"/>
    <col min="15878" max="15878" width="16.28515625" style="2" customWidth="1"/>
    <col min="15879" max="15880" width="11.5703125" style="2"/>
    <col min="15881" max="15881" width="11.7109375" style="2" bestFit="1" customWidth="1"/>
    <col min="15882" max="15882" width="12.28515625" style="2" customWidth="1"/>
    <col min="15883" max="16113" width="11.5703125" style="2"/>
    <col min="16114" max="16114" width="32.42578125" style="2" customWidth="1"/>
    <col min="16115" max="16115" width="13.28515625" style="2" customWidth="1"/>
    <col min="16116" max="16116" width="11.85546875" style="2" customWidth="1"/>
    <col min="16117" max="16117" width="13.140625" style="2" customWidth="1"/>
    <col min="16118" max="16118" width="14.42578125" style="2" customWidth="1"/>
    <col min="16119" max="16119" width="12.85546875" style="2" customWidth="1"/>
    <col min="16120" max="16125" width="12.28515625" style="2" bestFit="1" customWidth="1"/>
    <col min="16126" max="16133" width="13.85546875" style="2" bestFit="1" customWidth="1"/>
    <col min="16134" max="16134" width="16.28515625" style="2" customWidth="1"/>
    <col min="16135" max="16136" width="11.5703125" style="2"/>
    <col min="16137" max="16137" width="11.7109375" style="2" bestFit="1" customWidth="1"/>
    <col min="16138" max="16138" width="12.28515625" style="2" customWidth="1"/>
    <col min="16139" max="16384" width="11.5703125" style="2"/>
  </cols>
  <sheetData>
    <row r="1" spans="1:145" x14ac:dyDescent="0.25">
      <c r="A1" s="3"/>
      <c r="B1" s="3"/>
      <c r="C1" s="3"/>
      <c r="D1" s="3"/>
      <c r="E1" s="34" t="s">
        <v>182</v>
      </c>
      <c r="F1" s="3"/>
      <c r="G1" s="3"/>
      <c r="H1" s="3"/>
    </row>
    <row r="2" spans="1:145" ht="16.5" thickBot="1" x14ac:dyDescent="0.3">
      <c r="C2" s="3"/>
      <c r="D2" s="3"/>
      <c r="F2" s="3"/>
      <c r="G2" s="3"/>
      <c r="H2" s="5"/>
    </row>
    <row r="3" spans="1:145" s="162" customFormat="1" ht="21" customHeight="1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65" t="s">
        <v>23</v>
      </c>
    </row>
    <row r="4" spans="1:145" s="162" customFormat="1" x14ac:dyDescent="0.25">
      <c r="A4" s="33"/>
      <c r="B4" s="33"/>
      <c r="C4" s="163"/>
      <c r="D4" s="163"/>
      <c r="E4" s="163"/>
      <c r="F4" s="163"/>
      <c r="G4" s="163"/>
      <c r="H4" s="45"/>
    </row>
    <row r="5" spans="1:145" x14ac:dyDescent="0.25">
      <c r="A5" s="141" t="s">
        <v>197</v>
      </c>
      <c r="B5" s="142" t="s">
        <v>5</v>
      </c>
    </row>
    <row r="6" spans="1:145" x14ac:dyDescent="0.25">
      <c r="A6" s="140" t="s">
        <v>198</v>
      </c>
      <c r="B6" s="121"/>
      <c r="D6" s="97">
        <v>0</v>
      </c>
      <c r="E6" s="97"/>
      <c r="F6" s="97"/>
      <c r="G6" s="97">
        <v>54400</v>
      </c>
      <c r="H6" s="86">
        <f>SUM(C6:G6)</f>
        <v>54400</v>
      </c>
    </row>
    <row r="7" spans="1:145" x14ac:dyDescent="0.25">
      <c r="A7" s="143" t="s">
        <v>196</v>
      </c>
      <c r="B7" s="141"/>
      <c r="D7" s="148">
        <f>SUM(D6:D6)</f>
        <v>0</v>
      </c>
      <c r="E7" s="148">
        <f>SUM(E6:E6)</f>
        <v>0</v>
      </c>
      <c r="F7" s="148">
        <f>SUM(F6:F6)</f>
        <v>0</v>
      </c>
      <c r="G7" s="148">
        <f>SUM(G6:G6)</f>
        <v>54400</v>
      </c>
      <c r="H7" s="148">
        <f>SUM(H6:H6)</f>
        <v>54400</v>
      </c>
    </row>
    <row r="8" spans="1:145" x14ac:dyDescent="0.25">
      <c r="A8" s="3"/>
      <c r="B8" s="3"/>
      <c r="D8" s="3"/>
      <c r="E8" s="3"/>
      <c r="F8" s="3"/>
      <c r="G8" s="144"/>
      <c r="H8" s="3"/>
    </row>
    <row r="9" spans="1:145" s="71" customFormat="1" x14ac:dyDescent="0.25">
      <c r="A9" s="33" t="s">
        <v>199</v>
      </c>
      <c r="B9" s="33" t="s">
        <v>5</v>
      </c>
      <c r="D9" s="45" t="s">
        <v>184</v>
      </c>
      <c r="E9" s="45" t="s">
        <v>185</v>
      </c>
      <c r="F9" s="45" t="s">
        <v>186</v>
      </c>
      <c r="G9" s="45" t="s">
        <v>187</v>
      </c>
      <c r="H9" s="45"/>
    </row>
    <row r="10" spans="1:145" s="71" customFormat="1" x14ac:dyDescent="0.25">
      <c r="A10" s="167" t="s">
        <v>183</v>
      </c>
      <c r="B10" s="145">
        <v>10000</v>
      </c>
      <c r="D10" s="147">
        <v>10000</v>
      </c>
      <c r="E10" s="147"/>
      <c r="F10" s="147"/>
      <c r="G10" s="147"/>
      <c r="H10" s="56">
        <f>SUM(D10:G10)</f>
        <v>10000</v>
      </c>
    </row>
    <row r="11" spans="1:145" s="73" customFormat="1" x14ac:dyDescent="0.25">
      <c r="A11" s="35" t="s">
        <v>205</v>
      </c>
      <c r="B11" s="56"/>
      <c r="D11" s="105">
        <v>7609.0441100000007</v>
      </c>
      <c r="E11" s="105">
        <v>9544.9826900000007</v>
      </c>
      <c r="F11" s="105">
        <v>1977.54</v>
      </c>
      <c r="G11" s="105">
        <v>0</v>
      </c>
      <c r="H11" s="105"/>
      <c r="K11" s="105"/>
      <c r="L11" s="105"/>
      <c r="M11" s="105"/>
      <c r="EO11" s="137"/>
    </row>
    <row r="12" spans="1:145" s="73" customFormat="1" x14ac:dyDescent="0.25">
      <c r="A12" s="35" t="s">
        <v>136</v>
      </c>
      <c r="B12" s="56">
        <f>+'MANO DE OBRA'!C28</f>
        <v>6102</v>
      </c>
      <c r="D12" s="105">
        <v>3051</v>
      </c>
      <c r="E12" s="105">
        <v>3051</v>
      </c>
      <c r="F12" s="105">
        <v>0</v>
      </c>
      <c r="G12" s="105">
        <v>0</v>
      </c>
      <c r="H12" s="105">
        <f t="shared" ref="H12:H17" si="0">SUM(D12:G12)</f>
        <v>6102</v>
      </c>
      <c r="K12" s="177"/>
      <c r="L12" s="177"/>
      <c r="M12" s="177"/>
      <c r="EO12" s="137"/>
    </row>
    <row r="13" spans="1:145" s="73" customFormat="1" x14ac:dyDescent="0.25">
      <c r="A13" s="35" t="s">
        <v>137</v>
      </c>
      <c r="B13" s="56">
        <f>+LOGISTICA!B30</f>
        <v>2327.1</v>
      </c>
      <c r="D13" s="105">
        <v>1163.55</v>
      </c>
      <c r="E13" s="105">
        <v>1163.55</v>
      </c>
      <c r="F13" s="105">
        <v>0</v>
      </c>
      <c r="G13" s="105">
        <v>0</v>
      </c>
      <c r="H13" s="105">
        <f t="shared" si="0"/>
        <v>2327.1</v>
      </c>
      <c r="EO13" s="137"/>
    </row>
    <row r="14" spans="1:145" s="67" customFormat="1" x14ac:dyDescent="0.25">
      <c r="A14" s="35" t="s">
        <v>200</v>
      </c>
      <c r="B14" s="56">
        <f>SUM(B11:B13)</f>
        <v>8429.1</v>
      </c>
      <c r="D14" s="171">
        <f>SUM(D11:D13)</f>
        <v>11823.59411</v>
      </c>
      <c r="E14" s="171">
        <f>SUM(E11:E13)</f>
        <v>13759.53269</v>
      </c>
      <c r="F14" s="171">
        <f>SUM(F11:F13)</f>
        <v>1977.54</v>
      </c>
      <c r="G14" s="171">
        <f>SUM(G11:G13)</f>
        <v>0</v>
      </c>
      <c r="H14" s="171">
        <f t="shared" si="0"/>
        <v>27560.666799999999</v>
      </c>
      <c r="EO14" s="137"/>
    </row>
    <row r="15" spans="1:145" s="67" customFormat="1" x14ac:dyDescent="0.25">
      <c r="A15" s="35" t="s">
        <v>201</v>
      </c>
      <c r="B15" s="105"/>
      <c r="C15" s="166">
        <v>0.1</v>
      </c>
      <c r="D15" s="105">
        <f>+$C$15*D11</f>
        <v>760.9044110000001</v>
      </c>
      <c r="E15" s="105">
        <f t="shared" ref="E15:F15" si="1">+$C$15*E11</f>
        <v>954.49826900000016</v>
      </c>
      <c r="F15" s="105">
        <f t="shared" si="1"/>
        <v>197.75400000000002</v>
      </c>
      <c r="G15" s="105">
        <f>+$C$15*G11</f>
        <v>0</v>
      </c>
      <c r="H15" s="105">
        <f t="shared" si="0"/>
        <v>1913.1566800000001</v>
      </c>
      <c r="EO15" s="137"/>
    </row>
    <row r="16" spans="1:145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880.91489647000003</v>
      </c>
      <c r="E16" s="105">
        <f t="shared" ref="E16:F16" si="2">(+E14+E15)*$C$16</f>
        <v>1029.9821671300001</v>
      </c>
      <c r="F16" s="105">
        <f t="shared" si="2"/>
        <v>152.27058</v>
      </c>
      <c r="G16" s="105">
        <f>(+G14+G15)*0.07</f>
        <v>0</v>
      </c>
      <c r="H16" s="105">
        <f t="shared" si="0"/>
        <v>2063.1676436000002</v>
      </c>
      <c r="EO16" s="137"/>
    </row>
    <row r="17" spans="1:145" s="67" customFormat="1" x14ac:dyDescent="0.25">
      <c r="A17" s="35" t="s">
        <v>89</v>
      </c>
      <c r="B17" s="105"/>
      <c r="C17" s="166">
        <v>0.12</v>
      </c>
      <c r="D17" s="105">
        <f>(+D14+D15)*$C$17</f>
        <v>1510.1398225199998</v>
      </c>
      <c r="E17" s="105">
        <f t="shared" ref="E17:F17" si="3">(+E14+E15)*$C$17</f>
        <v>1765.68371508</v>
      </c>
      <c r="F17" s="105">
        <f t="shared" si="3"/>
        <v>261.03528</v>
      </c>
      <c r="G17" s="105"/>
      <c r="H17" s="105">
        <f t="shared" si="0"/>
        <v>3536.8588175999998</v>
      </c>
      <c r="EO17" s="137"/>
    </row>
    <row r="18" spans="1:145" s="67" customFormat="1" x14ac:dyDescent="0.25">
      <c r="A18" s="143" t="s">
        <v>181</v>
      </c>
      <c r="B18" s="141"/>
      <c r="D18" s="148">
        <f>SUM(D14:D17)+D10</f>
        <v>24975.553239989997</v>
      </c>
      <c r="E18" s="148">
        <f>SUM(E14:E17)+E10</f>
        <v>17509.69684121</v>
      </c>
      <c r="F18" s="148">
        <f>SUM(F14:F17)+F10</f>
        <v>2588.5998599999998</v>
      </c>
      <c r="G18" s="148">
        <f>SUM(G14:G17)+G10</f>
        <v>0</v>
      </c>
      <c r="H18" s="148">
        <f>SUM(H14:H17)+H10</f>
        <v>45073.849941200002</v>
      </c>
      <c r="EO18" s="137"/>
    </row>
    <row r="19" spans="1:145" s="67" customFormat="1" x14ac:dyDescent="0.25">
      <c r="A19" s="143"/>
      <c r="B19" s="141"/>
      <c r="D19" s="148"/>
      <c r="E19" s="148"/>
      <c r="F19" s="148"/>
      <c r="G19" s="148"/>
      <c r="H19" s="148"/>
      <c r="EO19" s="137"/>
    </row>
    <row r="20" spans="1:145" s="73" customFormat="1" ht="20.25" customHeight="1" x14ac:dyDescent="0.25">
      <c r="A20" s="140" t="s">
        <v>206</v>
      </c>
      <c r="B20" s="121"/>
      <c r="D20" s="130">
        <f>+D7-D18</f>
        <v>-24975.553239989997</v>
      </c>
      <c r="E20" s="130">
        <f>+E7-E18</f>
        <v>-17509.69684121</v>
      </c>
      <c r="F20" s="130">
        <f>+F7-F18</f>
        <v>-2588.5998599999998</v>
      </c>
      <c r="G20" s="130">
        <f>+G7-G18</f>
        <v>54400</v>
      </c>
      <c r="H20" s="130"/>
      <c r="I20" s="139"/>
    </row>
    <row r="21" spans="1:145" s="73" customFormat="1" ht="20.25" customHeight="1" x14ac:dyDescent="0.25">
      <c r="A21" s="140" t="s">
        <v>214</v>
      </c>
      <c r="B21" s="121"/>
      <c r="D21" s="130">
        <v>0</v>
      </c>
      <c r="E21" s="130">
        <v>0</v>
      </c>
      <c r="F21" s="130">
        <v>0</v>
      </c>
      <c r="G21" s="130">
        <v>3142.91</v>
      </c>
      <c r="H21" s="130"/>
      <c r="I21" s="139"/>
    </row>
    <row r="22" spans="1:145" s="73" customFormat="1" ht="20.25" customHeight="1" x14ac:dyDescent="0.25">
      <c r="A22" s="140" t="s">
        <v>208</v>
      </c>
      <c r="B22" s="121"/>
      <c r="C22" s="182"/>
      <c r="D22" s="183">
        <f>+D20-D21</f>
        <v>-24975.553239989997</v>
      </c>
      <c r="E22" s="183">
        <f t="shared" ref="E22:G22" si="4">+E20-E21</f>
        <v>-17509.69684121</v>
      </c>
      <c r="F22" s="183">
        <f t="shared" si="4"/>
        <v>-2588.5998599999998</v>
      </c>
      <c r="G22" s="183">
        <f t="shared" si="4"/>
        <v>51257.09</v>
      </c>
      <c r="H22" s="130"/>
      <c r="I22" s="139"/>
    </row>
    <row r="23" spans="1:145" x14ac:dyDescent="0.25">
      <c r="A23" s="140" t="s">
        <v>207</v>
      </c>
      <c r="B23" s="121"/>
      <c r="C23" s="184">
        <v>-45073.85</v>
      </c>
      <c r="D23" s="183">
        <f>-D22</f>
        <v>24975.553239989997</v>
      </c>
      <c r="E23" s="183">
        <f t="shared" ref="E23:F23" si="5">-E22</f>
        <v>17509.69684121</v>
      </c>
      <c r="F23" s="183">
        <f t="shared" si="5"/>
        <v>2588.5998599999998</v>
      </c>
      <c r="G23" s="183">
        <v>0</v>
      </c>
      <c r="H23" s="130"/>
      <c r="I23" s="157"/>
      <c r="J23" s="106"/>
    </row>
    <row r="24" spans="1:145" ht="16.5" thickBot="1" x14ac:dyDescent="0.3">
      <c r="A24" s="150" t="s">
        <v>209</v>
      </c>
      <c r="B24" s="150"/>
      <c r="C24" s="151"/>
      <c r="D24" s="153">
        <f>+D22+D23</f>
        <v>0</v>
      </c>
      <c r="E24" s="153">
        <f t="shared" ref="E24:G24" si="6">+E22+E23</f>
        <v>0</v>
      </c>
      <c r="F24" s="153">
        <f t="shared" si="6"/>
        <v>0</v>
      </c>
      <c r="G24" s="153">
        <f t="shared" si="6"/>
        <v>51257.09</v>
      </c>
      <c r="H24" s="153"/>
      <c r="J24" s="104"/>
    </row>
    <row r="25" spans="1:145" x14ac:dyDescent="0.25">
      <c r="A25" s="2" t="s">
        <v>195</v>
      </c>
      <c r="C25" s="121"/>
      <c r="D25" s="121"/>
      <c r="E25" s="36"/>
      <c r="F25" s="36"/>
      <c r="G25" s="36"/>
      <c r="H25" s="3"/>
      <c r="J25" s="104"/>
    </row>
    <row r="26" spans="1:145" x14ac:dyDescent="0.25">
      <c r="A26" s="140"/>
      <c r="B26" s="140"/>
      <c r="C26" s="121"/>
      <c r="D26" s="121"/>
      <c r="E26" s="36"/>
      <c r="F26" s="36"/>
      <c r="G26" s="36"/>
      <c r="H26" s="3"/>
      <c r="J26" s="104"/>
    </row>
    <row r="27" spans="1:145" x14ac:dyDescent="0.25">
      <c r="A27" s="140"/>
      <c r="B27" s="140"/>
      <c r="C27" s="121"/>
      <c r="D27" s="121"/>
      <c r="E27" s="36"/>
      <c r="F27" s="36"/>
      <c r="G27" s="36"/>
      <c r="H27" s="3"/>
      <c r="J27" s="104"/>
    </row>
    <row r="28" spans="1:145" x14ac:dyDescent="0.25">
      <c r="A28" s="3"/>
      <c r="B28" s="3"/>
      <c r="C28" s="3"/>
      <c r="D28" s="3"/>
      <c r="E28" s="140" t="s">
        <v>203</v>
      </c>
      <c r="F28" s="3"/>
      <c r="G28" s="3"/>
      <c r="H28" s="3"/>
      <c r="J28" s="3"/>
    </row>
    <row r="29" spans="1:145" ht="16.5" thickBot="1" x14ac:dyDescent="0.3">
      <c r="A29" s="150"/>
      <c r="B29" s="150"/>
      <c r="C29" s="151"/>
      <c r="D29" s="151"/>
      <c r="E29" s="152"/>
      <c r="F29" s="152"/>
      <c r="G29" s="152"/>
      <c r="H29" s="5"/>
    </row>
    <row r="30" spans="1:145" s="15" customFormat="1" ht="16.5" thickBot="1" x14ac:dyDescent="0.3">
      <c r="A30" s="170"/>
      <c r="B30" s="170"/>
      <c r="C30" s="169" t="s">
        <v>202</v>
      </c>
      <c r="D30" s="164" t="s">
        <v>184</v>
      </c>
      <c r="E30" s="164" t="s">
        <v>185</v>
      </c>
      <c r="F30" s="164" t="s">
        <v>186</v>
      </c>
      <c r="G30" s="164" t="s">
        <v>187</v>
      </c>
      <c r="H30" s="165"/>
    </row>
    <row r="31" spans="1:145" x14ac:dyDescent="0.25">
      <c r="A31" s="140" t="s">
        <v>204</v>
      </c>
      <c r="B31" s="140"/>
      <c r="C31" s="130">
        <f>+C23</f>
        <v>-45073.85</v>
      </c>
      <c r="D31" s="130">
        <v>0</v>
      </c>
      <c r="E31" s="97">
        <v>0</v>
      </c>
      <c r="F31" s="97">
        <v>0</v>
      </c>
      <c r="G31" s="97">
        <f>+G24</f>
        <v>51257.09</v>
      </c>
      <c r="H31" s="3"/>
    </row>
    <row r="32" spans="1:145" x14ac:dyDescent="0.25">
      <c r="A32" s="3" t="s">
        <v>188</v>
      </c>
      <c r="B32" s="3"/>
      <c r="C32" s="146">
        <f>IRR(C31:G31)</f>
        <v>3.2659923601883856E-2</v>
      </c>
      <c r="D32" s="3"/>
      <c r="E32" s="3"/>
      <c r="F32" s="3"/>
      <c r="G32" s="36"/>
      <c r="H32" s="3"/>
    </row>
    <row r="33" spans="1:10" x14ac:dyDescent="0.25">
      <c r="A33" s="3" t="s">
        <v>189</v>
      </c>
      <c r="B33" s="3"/>
      <c r="C33" s="47">
        <f>+C32*12</f>
        <v>0.39191908322260627</v>
      </c>
      <c r="D33" s="3"/>
      <c r="E33" s="3"/>
      <c r="F33" s="3"/>
      <c r="G33" s="121"/>
      <c r="H33" s="3"/>
      <c r="J33" s="104"/>
    </row>
    <row r="34" spans="1:10" x14ac:dyDescent="0.25">
      <c r="A34" s="3" t="s">
        <v>222</v>
      </c>
      <c r="B34" s="3"/>
      <c r="C34" s="188">
        <f>NPV(0.1/12,D31:G31)+C31</f>
        <v>4509.6808190473384</v>
      </c>
      <c r="D34" s="1"/>
      <c r="E34" s="1"/>
      <c r="F34" s="1"/>
      <c r="G34" s="1"/>
      <c r="H34" s="1"/>
      <c r="I34" s="1"/>
      <c r="J34" s="104"/>
    </row>
    <row r="35" spans="1:10" ht="16.5" thickBot="1" x14ac:dyDescent="0.3">
      <c r="A35" s="5" t="s">
        <v>223</v>
      </c>
      <c r="B35" s="5"/>
      <c r="C35" s="154">
        <f>NPV(+C33/12,D31:G31)+C31</f>
        <v>-8.8402885012328625E-9</v>
      </c>
      <c r="D35" s="193"/>
      <c r="E35" s="193"/>
      <c r="F35" s="193"/>
      <c r="G35" s="193"/>
      <c r="H35" s="193"/>
      <c r="I35" s="1"/>
      <c r="J35" s="104"/>
    </row>
    <row r="36" spans="1:10" x14ac:dyDescent="0.25">
      <c r="D36" s="1"/>
      <c r="E36" s="1"/>
      <c r="F36" s="1"/>
      <c r="G36" s="1"/>
      <c r="H36" s="1"/>
      <c r="I36" s="1"/>
      <c r="J36" s="104"/>
    </row>
    <row r="37" spans="1:10" x14ac:dyDescent="0.25">
      <c r="C37" s="138"/>
      <c r="J37" s="104"/>
    </row>
    <row r="38" spans="1:10" x14ac:dyDescent="0.25">
      <c r="A38" s="2" t="s">
        <v>228</v>
      </c>
      <c r="C38" s="2" t="s">
        <v>229</v>
      </c>
    </row>
    <row r="39" spans="1:10" x14ac:dyDescent="0.25">
      <c r="C39" s="2" t="s">
        <v>230</v>
      </c>
    </row>
    <row r="45" spans="1:10" x14ac:dyDescent="0.25">
      <c r="J45" s="129"/>
    </row>
    <row r="58" spans="6:10" x14ac:dyDescent="0.25">
      <c r="F58" s="129"/>
    </row>
    <row r="59" spans="6:10" x14ac:dyDescent="0.25">
      <c r="F59" s="129"/>
    </row>
    <row r="60" spans="6:10" x14ac:dyDescent="0.25">
      <c r="F60" s="129"/>
    </row>
    <row r="61" spans="6:10" x14ac:dyDescent="0.25">
      <c r="F61" s="129"/>
    </row>
    <row r="62" spans="6:10" x14ac:dyDescent="0.25">
      <c r="F62" s="129"/>
    </row>
    <row r="63" spans="6:10" x14ac:dyDescent="0.25">
      <c r="J63" s="129"/>
    </row>
    <row r="64" spans="6:10" x14ac:dyDescent="0.25">
      <c r="J64" s="129"/>
    </row>
    <row r="65" spans="10:10" x14ac:dyDescent="0.25">
      <c r="J65" s="129"/>
    </row>
    <row r="66" spans="10:10" x14ac:dyDescent="0.25">
      <c r="J66" s="129"/>
    </row>
    <row r="67" spans="10:10" x14ac:dyDescent="0.25">
      <c r="J67" s="129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68"/>
  <sheetViews>
    <sheetView topLeftCell="A17" zoomScale="89" zoomScaleNormal="89" workbookViewId="0">
      <selection activeCell="C40" sqref="C40"/>
    </sheetView>
  </sheetViews>
  <sheetFormatPr baseColWidth="10" defaultRowHeight="15.75" x14ac:dyDescent="0.25"/>
  <cols>
    <col min="1" max="1" width="30.28515625" style="2" customWidth="1"/>
    <col min="2" max="2" width="19.42578125" style="2" hidden="1" customWidth="1"/>
    <col min="3" max="3" width="17.28515625" style="2" customWidth="1"/>
    <col min="4" max="4" width="13.28515625" style="2" bestFit="1" customWidth="1"/>
    <col min="5" max="5" width="23.140625" style="2" bestFit="1" customWidth="1"/>
    <col min="6" max="6" width="12.28515625" style="2" bestFit="1" customWidth="1"/>
    <col min="7" max="7" width="12.5703125" style="2" bestFit="1" customWidth="1"/>
    <col min="8" max="9" width="13.28515625" style="2" bestFit="1" customWidth="1"/>
    <col min="10" max="10" width="12.28515625" style="2" bestFit="1" customWidth="1"/>
    <col min="11" max="13" width="13.28515625" style="2" bestFit="1" customWidth="1"/>
    <col min="14" max="14" width="12.28515625" style="2" bestFit="1" customWidth="1"/>
    <col min="15" max="15" width="12.5703125" style="2" bestFit="1" customWidth="1"/>
    <col min="16" max="241" width="11.5703125" style="2"/>
    <col min="242" max="242" width="32.42578125" style="2" customWidth="1"/>
    <col min="243" max="243" width="13.28515625" style="2" customWidth="1"/>
    <col min="244" max="244" width="11.85546875" style="2" customWidth="1"/>
    <col min="245" max="245" width="13.140625" style="2" customWidth="1"/>
    <col min="246" max="246" width="14.42578125" style="2" customWidth="1"/>
    <col min="247" max="247" width="12.85546875" style="2" customWidth="1"/>
    <col min="248" max="253" width="12.28515625" style="2" bestFit="1" customWidth="1"/>
    <col min="254" max="261" width="13.85546875" style="2" bestFit="1" customWidth="1"/>
    <col min="262" max="262" width="16.28515625" style="2" customWidth="1"/>
    <col min="263" max="264" width="11.5703125" style="2"/>
    <col min="265" max="265" width="11.7109375" style="2" bestFit="1" customWidth="1"/>
    <col min="266" max="266" width="12.28515625" style="2" customWidth="1"/>
    <col min="267" max="497" width="11.5703125" style="2"/>
    <col min="498" max="498" width="32.42578125" style="2" customWidth="1"/>
    <col min="499" max="499" width="13.28515625" style="2" customWidth="1"/>
    <col min="500" max="500" width="11.85546875" style="2" customWidth="1"/>
    <col min="501" max="501" width="13.140625" style="2" customWidth="1"/>
    <col min="502" max="502" width="14.42578125" style="2" customWidth="1"/>
    <col min="503" max="503" width="12.85546875" style="2" customWidth="1"/>
    <col min="504" max="509" width="12.28515625" style="2" bestFit="1" customWidth="1"/>
    <col min="510" max="517" width="13.85546875" style="2" bestFit="1" customWidth="1"/>
    <col min="518" max="518" width="16.28515625" style="2" customWidth="1"/>
    <col min="519" max="520" width="11.5703125" style="2"/>
    <col min="521" max="521" width="11.7109375" style="2" bestFit="1" customWidth="1"/>
    <col min="522" max="522" width="12.28515625" style="2" customWidth="1"/>
    <col min="523" max="753" width="11.5703125" style="2"/>
    <col min="754" max="754" width="32.42578125" style="2" customWidth="1"/>
    <col min="755" max="755" width="13.28515625" style="2" customWidth="1"/>
    <col min="756" max="756" width="11.85546875" style="2" customWidth="1"/>
    <col min="757" max="757" width="13.140625" style="2" customWidth="1"/>
    <col min="758" max="758" width="14.42578125" style="2" customWidth="1"/>
    <col min="759" max="759" width="12.85546875" style="2" customWidth="1"/>
    <col min="760" max="765" width="12.28515625" style="2" bestFit="1" customWidth="1"/>
    <col min="766" max="773" width="13.85546875" style="2" bestFit="1" customWidth="1"/>
    <col min="774" max="774" width="16.28515625" style="2" customWidth="1"/>
    <col min="775" max="776" width="11.5703125" style="2"/>
    <col min="777" max="777" width="11.7109375" style="2" bestFit="1" customWidth="1"/>
    <col min="778" max="778" width="12.28515625" style="2" customWidth="1"/>
    <col min="779" max="1009" width="11.5703125" style="2"/>
    <col min="1010" max="1010" width="32.42578125" style="2" customWidth="1"/>
    <col min="1011" max="1011" width="13.28515625" style="2" customWidth="1"/>
    <col min="1012" max="1012" width="11.85546875" style="2" customWidth="1"/>
    <col min="1013" max="1013" width="13.140625" style="2" customWidth="1"/>
    <col min="1014" max="1014" width="14.42578125" style="2" customWidth="1"/>
    <col min="1015" max="1015" width="12.85546875" style="2" customWidth="1"/>
    <col min="1016" max="1021" width="12.28515625" style="2" bestFit="1" customWidth="1"/>
    <col min="1022" max="1029" width="13.85546875" style="2" bestFit="1" customWidth="1"/>
    <col min="1030" max="1030" width="16.28515625" style="2" customWidth="1"/>
    <col min="1031" max="1032" width="11.5703125" style="2"/>
    <col min="1033" max="1033" width="11.7109375" style="2" bestFit="1" customWidth="1"/>
    <col min="1034" max="1034" width="12.28515625" style="2" customWidth="1"/>
    <col min="1035" max="1265" width="11.5703125" style="2"/>
    <col min="1266" max="1266" width="32.42578125" style="2" customWidth="1"/>
    <col min="1267" max="1267" width="13.28515625" style="2" customWidth="1"/>
    <col min="1268" max="1268" width="11.85546875" style="2" customWidth="1"/>
    <col min="1269" max="1269" width="13.140625" style="2" customWidth="1"/>
    <col min="1270" max="1270" width="14.42578125" style="2" customWidth="1"/>
    <col min="1271" max="1271" width="12.85546875" style="2" customWidth="1"/>
    <col min="1272" max="1277" width="12.28515625" style="2" bestFit="1" customWidth="1"/>
    <col min="1278" max="1285" width="13.85546875" style="2" bestFit="1" customWidth="1"/>
    <col min="1286" max="1286" width="16.28515625" style="2" customWidth="1"/>
    <col min="1287" max="1288" width="11.5703125" style="2"/>
    <col min="1289" max="1289" width="11.7109375" style="2" bestFit="1" customWidth="1"/>
    <col min="1290" max="1290" width="12.28515625" style="2" customWidth="1"/>
    <col min="1291" max="1521" width="11.5703125" style="2"/>
    <col min="1522" max="1522" width="32.42578125" style="2" customWidth="1"/>
    <col min="1523" max="1523" width="13.28515625" style="2" customWidth="1"/>
    <col min="1524" max="1524" width="11.85546875" style="2" customWidth="1"/>
    <col min="1525" max="1525" width="13.140625" style="2" customWidth="1"/>
    <col min="1526" max="1526" width="14.42578125" style="2" customWidth="1"/>
    <col min="1527" max="1527" width="12.85546875" style="2" customWidth="1"/>
    <col min="1528" max="1533" width="12.28515625" style="2" bestFit="1" customWidth="1"/>
    <col min="1534" max="1541" width="13.85546875" style="2" bestFit="1" customWidth="1"/>
    <col min="1542" max="1542" width="16.28515625" style="2" customWidth="1"/>
    <col min="1543" max="1544" width="11.5703125" style="2"/>
    <col min="1545" max="1545" width="11.7109375" style="2" bestFit="1" customWidth="1"/>
    <col min="1546" max="1546" width="12.28515625" style="2" customWidth="1"/>
    <col min="1547" max="1777" width="11.5703125" style="2"/>
    <col min="1778" max="1778" width="32.42578125" style="2" customWidth="1"/>
    <col min="1779" max="1779" width="13.28515625" style="2" customWidth="1"/>
    <col min="1780" max="1780" width="11.85546875" style="2" customWidth="1"/>
    <col min="1781" max="1781" width="13.140625" style="2" customWidth="1"/>
    <col min="1782" max="1782" width="14.42578125" style="2" customWidth="1"/>
    <col min="1783" max="1783" width="12.85546875" style="2" customWidth="1"/>
    <col min="1784" max="1789" width="12.28515625" style="2" bestFit="1" customWidth="1"/>
    <col min="1790" max="1797" width="13.85546875" style="2" bestFit="1" customWidth="1"/>
    <col min="1798" max="1798" width="16.28515625" style="2" customWidth="1"/>
    <col min="1799" max="1800" width="11.5703125" style="2"/>
    <col min="1801" max="1801" width="11.7109375" style="2" bestFit="1" customWidth="1"/>
    <col min="1802" max="1802" width="12.28515625" style="2" customWidth="1"/>
    <col min="1803" max="2033" width="11.5703125" style="2"/>
    <col min="2034" max="2034" width="32.42578125" style="2" customWidth="1"/>
    <col min="2035" max="2035" width="13.28515625" style="2" customWidth="1"/>
    <col min="2036" max="2036" width="11.85546875" style="2" customWidth="1"/>
    <col min="2037" max="2037" width="13.140625" style="2" customWidth="1"/>
    <col min="2038" max="2038" width="14.42578125" style="2" customWidth="1"/>
    <col min="2039" max="2039" width="12.85546875" style="2" customWidth="1"/>
    <col min="2040" max="2045" width="12.28515625" style="2" bestFit="1" customWidth="1"/>
    <col min="2046" max="2053" width="13.85546875" style="2" bestFit="1" customWidth="1"/>
    <col min="2054" max="2054" width="16.28515625" style="2" customWidth="1"/>
    <col min="2055" max="2056" width="11.5703125" style="2"/>
    <col min="2057" max="2057" width="11.7109375" style="2" bestFit="1" customWidth="1"/>
    <col min="2058" max="2058" width="12.28515625" style="2" customWidth="1"/>
    <col min="2059" max="2289" width="11.5703125" style="2"/>
    <col min="2290" max="2290" width="32.42578125" style="2" customWidth="1"/>
    <col min="2291" max="2291" width="13.28515625" style="2" customWidth="1"/>
    <col min="2292" max="2292" width="11.85546875" style="2" customWidth="1"/>
    <col min="2293" max="2293" width="13.140625" style="2" customWidth="1"/>
    <col min="2294" max="2294" width="14.42578125" style="2" customWidth="1"/>
    <col min="2295" max="2295" width="12.85546875" style="2" customWidth="1"/>
    <col min="2296" max="2301" width="12.28515625" style="2" bestFit="1" customWidth="1"/>
    <col min="2302" max="2309" width="13.85546875" style="2" bestFit="1" customWidth="1"/>
    <col min="2310" max="2310" width="16.28515625" style="2" customWidth="1"/>
    <col min="2311" max="2312" width="11.5703125" style="2"/>
    <col min="2313" max="2313" width="11.7109375" style="2" bestFit="1" customWidth="1"/>
    <col min="2314" max="2314" width="12.28515625" style="2" customWidth="1"/>
    <col min="2315" max="2545" width="11.5703125" style="2"/>
    <col min="2546" max="2546" width="32.42578125" style="2" customWidth="1"/>
    <col min="2547" max="2547" width="13.28515625" style="2" customWidth="1"/>
    <col min="2548" max="2548" width="11.85546875" style="2" customWidth="1"/>
    <col min="2549" max="2549" width="13.140625" style="2" customWidth="1"/>
    <col min="2550" max="2550" width="14.42578125" style="2" customWidth="1"/>
    <col min="2551" max="2551" width="12.85546875" style="2" customWidth="1"/>
    <col min="2552" max="2557" width="12.28515625" style="2" bestFit="1" customWidth="1"/>
    <col min="2558" max="2565" width="13.85546875" style="2" bestFit="1" customWidth="1"/>
    <col min="2566" max="2566" width="16.28515625" style="2" customWidth="1"/>
    <col min="2567" max="2568" width="11.5703125" style="2"/>
    <col min="2569" max="2569" width="11.7109375" style="2" bestFit="1" customWidth="1"/>
    <col min="2570" max="2570" width="12.28515625" style="2" customWidth="1"/>
    <col min="2571" max="2801" width="11.5703125" style="2"/>
    <col min="2802" max="2802" width="32.42578125" style="2" customWidth="1"/>
    <col min="2803" max="2803" width="13.28515625" style="2" customWidth="1"/>
    <col min="2804" max="2804" width="11.85546875" style="2" customWidth="1"/>
    <col min="2805" max="2805" width="13.140625" style="2" customWidth="1"/>
    <col min="2806" max="2806" width="14.42578125" style="2" customWidth="1"/>
    <col min="2807" max="2807" width="12.85546875" style="2" customWidth="1"/>
    <col min="2808" max="2813" width="12.28515625" style="2" bestFit="1" customWidth="1"/>
    <col min="2814" max="2821" width="13.85546875" style="2" bestFit="1" customWidth="1"/>
    <col min="2822" max="2822" width="16.28515625" style="2" customWidth="1"/>
    <col min="2823" max="2824" width="11.5703125" style="2"/>
    <col min="2825" max="2825" width="11.7109375" style="2" bestFit="1" customWidth="1"/>
    <col min="2826" max="2826" width="12.28515625" style="2" customWidth="1"/>
    <col min="2827" max="3057" width="11.5703125" style="2"/>
    <col min="3058" max="3058" width="32.42578125" style="2" customWidth="1"/>
    <col min="3059" max="3059" width="13.28515625" style="2" customWidth="1"/>
    <col min="3060" max="3060" width="11.85546875" style="2" customWidth="1"/>
    <col min="3061" max="3061" width="13.140625" style="2" customWidth="1"/>
    <col min="3062" max="3062" width="14.42578125" style="2" customWidth="1"/>
    <col min="3063" max="3063" width="12.85546875" style="2" customWidth="1"/>
    <col min="3064" max="3069" width="12.28515625" style="2" bestFit="1" customWidth="1"/>
    <col min="3070" max="3077" width="13.85546875" style="2" bestFit="1" customWidth="1"/>
    <col min="3078" max="3078" width="16.28515625" style="2" customWidth="1"/>
    <col min="3079" max="3080" width="11.5703125" style="2"/>
    <col min="3081" max="3081" width="11.7109375" style="2" bestFit="1" customWidth="1"/>
    <col min="3082" max="3082" width="12.28515625" style="2" customWidth="1"/>
    <col min="3083" max="3313" width="11.5703125" style="2"/>
    <col min="3314" max="3314" width="32.42578125" style="2" customWidth="1"/>
    <col min="3315" max="3315" width="13.28515625" style="2" customWidth="1"/>
    <col min="3316" max="3316" width="11.85546875" style="2" customWidth="1"/>
    <col min="3317" max="3317" width="13.140625" style="2" customWidth="1"/>
    <col min="3318" max="3318" width="14.42578125" style="2" customWidth="1"/>
    <col min="3319" max="3319" width="12.85546875" style="2" customWidth="1"/>
    <col min="3320" max="3325" width="12.28515625" style="2" bestFit="1" customWidth="1"/>
    <col min="3326" max="3333" width="13.85546875" style="2" bestFit="1" customWidth="1"/>
    <col min="3334" max="3334" width="16.28515625" style="2" customWidth="1"/>
    <col min="3335" max="3336" width="11.5703125" style="2"/>
    <col min="3337" max="3337" width="11.7109375" style="2" bestFit="1" customWidth="1"/>
    <col min="3338" max="3338" width="12.28515625" style="2" customWidth="1"/>
    <col min="3339" max="3569" width="11.5703125" style="2"/>
    <col min="3570" max="3570" width="32.42578125" style="2" customWidth="1"/>
    <col min="3571" max="3571" width="13.28515625" style="2" customWidth="1"/>
    <col min="3572" max="3572" width="11.85546875" style="2" customWidth="1"/>
    <col min="3573" max="3573" width="13.140625" style="2" customWidth="1"/>
    <col min="3574" max="3574" width="14.42578125" style="2" customWidth="1"/>
    <col min="3575" max="3575" width="12.85546875" style="2" customWidth="1"/>
    <col min="3576" max="3581" width="12.28515625" style="2" bestFit="1" customWidth="1"/>
    <col min="3582" max="3589" width="13.85546875" style="2" bestFit="1" customWidth="1"/>
    <col min="3590" max="3590" width="16.28515625" style="2" customWidth="1"/>
    <col min="3591" max="3592" width="11.5703125" style="2"/>
    <col min="3593" max="3593" width="11.7109375" style="2" bestFit="1" customWidth="1"/>
    <col min="3594" max="3594" width="12.28515625" style="2" customWidth="1"/>
    <col min="3595" max="3825" width="11.5703125" style="2"/>
    <col min="3826" max="3826" width="32.42578125" style="2" customWidth="1"/>
    <col min="3827" max="3827" width="13.28515625" style="2" customWidth="1"/>
    <col min="3828" max="3828" width="11.85546875" style="2" customWidth="1"/>
    <col min="3829" max="3829" width="13.140625" style="2" customWidth="1"/>
    <col min="3830" max="3830" width="14.42578125" style="2" customWidth="1"/>
    <col min="3831" max="3831" width="12.85546875" style="2" customWidth="1"/>
    <col min="3832" max="3837" width="12.28515625" style="2" bestFit="1" customWidth="1"/>
    <col min="3838" max="3845" width="13.85546875" style="2" bestFit="1" customWidth="1"/>
    <col min="3846" max="3846" width="16.28515625" style="2" customWidth="1"/>
    <col min="3847" max="3848" width="11.5703125" style="2"/>
    <col min="3849" max="3849" width="11.7109375" style="2" bestFit="1" customWidth="1"/>
    <col min="3850" max="3850" width="12.28515625" style="2" customWidth="1"/>
    <col min="3851" max="4081" width="11.5703125" style="2"/>
    <col min="4082" max="4082" width="32.42578125" style="2" customWidth="1"/>
    <col min="4083" max="4083" width="13.28515625" style="2" customWidth="1"/>
    <col min="4084" max="4084" width="11.85546875" style="2" customWidth="1"/>
    <col min="4085" max="4085" width="13.140625" style="2" customWidth="1"/>
    <col min="4086" max="4086" width="14.42578125" style="2" customWidth="1"/>
    <col min="4087" max="4087" width="12.85546875" style="2" customWidth="1"/>
    <col min="4088" max="4093" width="12.28515625" style="2" bestFit="1" customWidth="1"/>
    <col min="4094" max="4101" width="13.85546875" style="2" bestFit="1" customWidth="1"/>
    <col min="4102" max="4102" width="16.28515625" style="2" customWidth="1"/>
    <col min="4103" max="4104" width="11.5703125" style="2"/>
    <col min="4105" max="4105" width="11.7109375" style="2" bestFit="1" customWidth="1"/>
    <col min="4106" max="4106" width="12.28515625" style="2" customWidth="1"/>
    <col min="4107" max="4337" width="11.5703125" style="2"/>
    <col min="4338" max="4338" width="32.42578125" style="2" customWidth="1"/>
    <col min="4339" max="4339" width="13.28515625" style="2" customWidth="1"/>
    <col min="4340" max="4340" width="11.85546875" style="2" customWidth="1"/>
    <col min="4341" max="4341" width="13.140625" style="2" customWidth="1"/>
    <col min="4342" max="4342" width="14.42578125" style="2" customWidth="1"/>
    <col min="4343" max="4343" width="12.85546875" style="2" customWidth="1"/>
    <col min="4344" max="4349" width="12.28515625" style="2" bestFit="1" customWidth="1"/>
    <col min="4350" max="4357" width="13.85546875" style="2" bestFit="1" customWidth="1"/>
    <col min="4358" max="4358" width="16.28515625" style="2" customWidth="1"/>
    <col min="4359" max="4360" width="11.5703125" style="2"/>
    <col min="4361" max="4361" width="11.7109375" style="2" bestFit="1" customWidth="1"/>
    <col min="4362" max="4362" width="12.28515625" style="2" customWidth="1"/>
    <col min="4363" max="4593" width="11.5703125" style="2"/>
    <col min="4594" max="4594" width="32.42578125" style="2" customWidth="1"/>
    <col min="4595" max="4595" width="13.28515625" style="2" customWidth="1"/>
    <col min="4596" max="4596" width="11.85546875" style="2" customWidth="1"/>
    <col min="4597" max="4597" width="13.140625" style="2" customWidth="1"/>
    <col min="4598" max="4598" width="14.42578125" style="2" customWidth="1"/>
    <col min="4599" max="4599" width="12.85546875" style="2" customWidth="1"/>
    <col min="4600" max="4605" width="12.28515625" style="2" bestFit="1" customWidth="1"/>
    <col min="4606" max="4613" width="13.85546875" style="2" bestFit="1" customWidth="1"/>
    <col min="4614" max="4614" width="16.28515625" style="2" customWidth="1"/>
    <col min="4615" max="4616" width="11.5703125" style="2"/>
    <col min="4617" max="4617" width="11.7109375" style="2" bestFit="1" customWidth="1"/>
    <col min="4618" max="4618" width="12.28515625" style="2" customWidth="1"/>
    <col min="4619" max="4849" width="11.5703125" style="2"/>
    <col min="4850" max="4850" width="32.42578125" style="2" customWidth="1"/>
    <col min="4851" max="4851" width="13.28515625" style="2" customWidth="1"/>
    <col min="4852" max="4852" width="11.85546875" style="2" customWidth="1"/>
    <col min="4853" max="4853" width="13.140625" style="2" customWidth="1"/>
    <col min="4854" max="4854" width="14.42578125" style="2" customWidth="1"/>
    <col min="4855" max="4855" width="12.85546875" style="2" customWidth="1"/>
    <col min="4856" max="4861" width="12.28515625" style="2" bestFit="1" customWidth="1"/>
    <col min="4862" max="4869" width="13.85546875" style="2" bestFit="1" customWidth="1"/>
    <col min="4870" max="4870" width="16.28515625" style="2" customWidth="1"/>
    <col min="4871" max="4872" width="11.5703125" style="2"/>
    <col min="4873" max="4873" width="11.7109375" style="2" bestFit="1" customWidth="1"/>
    <col min="4874" max="4874" width="12.28515625" style="2" customWidth="1"/>
    <col min="4875" max="5105" width="11.5703125" style="2"/>
    <col min="5106" max="5106" width="32.42578125" style="2" customWidth="1"/>
    <col min="5107" max="5107" width="13.28515625" style="2" customWidth="1"/>
    <col min="5108" max="5108" width="11.85546875" style="2" customWidth="1"/>
    <col min="5109" max="5109" width="13.140625" style="2" customWidth="1"/>
    <col min="5110" max="5110" width="14.42578125" style="2" customWidth="1"/>
    <col min="5111" max="5111" width="12.85546875" style="2" customWidth="1"/>
    <col min="5112" max="5117" width="12.28515625" style="2" bestFit="1" customWidth="1"/>
    <col min="5118" max="5125" width="13.85546875" style="2" bestFit="1" customWidth="1"/>
    <col min="5126" max="5126" width="16.28515625" style="2" customWidth="1"/>
    <col min="5127" max="5128" width="11.5703125" style="2"/>
    <col min="5129" max="5129" width="11.7109375" style="2" bestFit="1" customWidth="1"/>
    <col min="5130" max="5130" width="12.28515625" style="2" customWidth="1"/>
    <col min="5131" max="5361" width="11.5703125" style="2"/>
    <col min="5362" max="5362" width="32.42578125" style="2" customWidth="1"/>
    <col min="5363" max="5363" width="13.28515625" style="2" customWidth="1"/>
    <col min="5364" max="5364" width="11.85546875" style="2" customWidth="1"/>
    <col min="5365" max="5365" width="13.140625" style="2" customWidth="1"/>
    <col min="5366" max="5366" width="14.42578125" style="2" customWidth="1"/>
    <col min="5367" max="5367" width="12.85546875" style="2" customWidth="1"/>
    <col min="5368" max="5373" width="12.28515625" style="2" bestFit="1" customWidth="1"/>
    <col min="5374" max="5381" width="13.85546875" style="2" bestFit="1" customWidth="1"/>
    <col min="5382" max="5382" width="16.28515625" style="2" customWidth="1"/>
    <col min="5383" max="5384" width="11.5703125" style="2"/>
    <col min="5385" max="5385" width="11.7109375" style="2" bestFit="1" customWidth="1"/>
    <col min="5386" max="5386" width="12.28515625" style="2" customWidth="1"/>
    <col min="5387" max="5617" width="11.5703125" style="2"/>
    <col min="5618" max="5618" width="32.42578125" style="2" customWidth="1"/>
    <col min="5619" max="5619" width="13.28515625" style="2" customWidth="1"/>
    <col min="5620" max="5620" width="11.85546875" style="2" customWidth="1"/>
    <col min="5621" max="5621" width="13.140625" style="2" customWidth="1"/>
    <col min="5622" max="5622" width="14.42578125" style="2" customWidth="1"/>
    <col min="5623" max="5623" width="12.85546875" style="2" customWidth="1"/>
    <col min="5624" max="5629" width="12.28515625" style="2" bestFit="1" customWidth="1"/>
    <col min="5630" max="5637" width="13.85546875" style="2" bestFit="1" customWidth="1"/>
    <col min="5638" max="5638" width="16.28515625" style="2" customWidth="1"/>
    <col min="5639" max="5640" width="11.5703125" style="2"/>
    <col min="5641" max="5641" width="11.7109375" style="2" bestFit="1" customWidth="1"/>
    <col min="5642" max="5642" width="12.28515625" style="2" customWidth="1"/>
    <col min="5643" max="5873" width="11.5703125" style="2"/>
    <col min="5874" max="5874" width="32.42578125" style="2" customWidth="1"/>
    <col min="5875" max="5875" width="13.28515625" style="2" customWidth="1"/>
    <col min="5876" max="5876" width="11.85546875" style="2" customWidth="1"/>
    <col min="5877" max="5877" width="13.140625" style="2" customWidth="1"/>
    <col min="5878" max="5878" width="14.42578125" style="2" customWidth="1"/>
    <col min="5879" max="5879" width="12.85546875" style="2" customWidth="1"/>
    <col min="5880" max="5885" width="12.28515625" style="2" bestFit="1" customWidth="1"/>
    <col min="5886" max="5893" width="13.85546875" style="2" bestFit="1" customWidth="1"/>
    <col min="5894" max="5894" width="16.28515625" style="2" customWidth="1"/>
    <col min="5895" max="5896" width="11.5703125" style="2"/>
    <col min="5897" max="5897" width="11.7109375" style="2" bestFit="1" customWidth="1"/>
    <col min="5898" max="5898" width="12.28515625" style="2" customWidth="1"/>
    <col min="5899" max="6129" width="11.5703125" style="2"/>
    <col min="6130" max="6130" width="32.42578125" style="2" customWidth="1"/>
    <col min="6131" max="6131" width="13.28515625" style="2" customWidth="1"/>
    <col min="6132" max="6132" width="11.85546875" style="2" customWidth="1"/>
    <col min="6133" max="6133" width="13.140625" style="2" customWidth="1"/>
    <col min="6134" max="6134" width="14.42578125" style="2" customWidth="1"/>
    <col min="6135" max="6135" width="12.85546875" style="2" customWidth="1"/>
    <col min="6136" max="6141" width="12.28515625" style="2" bestFit="1" customWidth="1"/>
    <col min="6142" max="6149" width="13.85546875" style="2" bestFit="1" customWidth="1"/>
    <col min="6150" max="6150" width="16.28515625" style="2" customWidth="1"/>
    <col min="6151" max="6152" width="11.5703125" style="2"/>
    <col min="6153" max="6153" width="11.7109375" style="2" bestFit="1" customWidth="1"/>
    <col min="6154" max="6154" width="12.28515625" style="2" customWidth="1"/>
    <col min="6155" max="6385" width="11.5703125" style="2"/>
    <col min="6386" max="6386" width="32.42578125" style="2" customWidth="1"/>
    <col min="6387" max="6387" width="13.28515625" style="2" customWidth="1"/>
    <col min="6388" max="6388" width="11.85546875" style="2" customWidth="1"/>
    <col min="6389" max="6389" width="13.140625" style="2" customWidth="1"/>
    <col min="6390" max="6390" width="14.42578125" style="2" customWidth="1"/>
    <col min="6391" max="6391" width="12.85546875" style="2" customWidth="1"/>
    <col min="6392" max="6397" width="12.28515625" style="2" bestFit="1" customWidth="1"/>
    <col min="6398" max="6405" width="13.85546875" style="2" bestFit="1" customWidth="1"/>
    <col min="6406" max="6406" width="16.28515625" style="2" customWidth="1"/>
    <col min="6407" max="6408" width="11.5703125" style="2"/>
    <col min="6409" max="6409" width="11.7109375" style="2" bestFit="1" customWidth="1"/>
    <col min="6410" max="6410" width="12.28515625" style="2" customWidth="1"/>
    <col min="6411" max="6641" width="11.5703125" style="2"/>
    <col min="6642" max="6642" width="32.42578125" style="2" customWidth="1"/>
    <col min="6643" max="6643" width="13.28515625" style="2" customWidth="1"/>
    <col min="6644" max="6644" width="11.85546875" style="2" customWidth="1"/>
    <col min="6645" max="6645" width="13.140625" style="2" customWidth="1"/>
    <col min="6646" max="6646" width="14.42578125" style="2" customWidth="1"/>
    <col min="6647" max="6647" width="12.85546875" style="2" customWidth="1"/>
    <col min="6648" max="6653" width="12.28515625" style="2" bestFit="1" customWidth="1"/>
    <col min="6654" max="6661" width="13.85546875" style="2" bestFit="1" customWidth="1"/>
    <col min="6662" max="6662" width="16.28515625" style="2" customWidth="1"/>
    <col min="6663" max="6664" width="11.5703125" style="2"/>
    <col min="6665" max="6665" width="11.7109375" style="2" bestFit="1" customWidth="1"/>
    <col min="6666" max="6666" width="12.28515625" style="2" customWidth="1"/>
    <col min="6667" max="6897" width="11.5703125" style="2"/>
    <col min="6898" max="6898" width="32.42578125" style="2" customWidth="1"/>
    <col min="6899" max="6899" width="13.28515625" style="2" customWidth="1"/>
    <col min="6900" max="6900" width="11.85546875" style="2" customWidth="1"/>
    <col min="6901" max="6901" width="13.140625" style="2" customWidth="1"/>
    <col min="6902" max="6902" width="14.42578125" style="2" customWidth="1"/>
    <col min="6903" max="6903" width="12.85546875" style="2" customWidth="1"/>
    <col min="6904" max="6909" width="12.28515625" style="2" bestFit="1" customWidth="1"/>
    <col min="6910" max="6917" width="13.85546875" style="2" bestFit="1" customWidth="1"/>
    <col min="6918" max="6918" width="16.28515625" style="2" customWidth="1"/>
    <col min="6919" max="6920" width="11.5703125" style="2"/>
    <col min="6921" max="6921" width="11.7109375" style="2" bestFit="1" customWidth="1"/>
    <col min="6922" max="6922" width="12.28515625" style="2" customWidth="1"/>
    <col min="6923" max="7153" width="11.5703125" style="2"/>
    <col min="7154" max="7154" width="32.42578125" style="2" customWidth="1"/>
    <col min="7155" max="7155" width="13.28515625" style="2" customWidth="1"/>
    <col min="7156" max="7156" width="11.85546875" style="2" customWidth="1"/>
    <col min="7157" max="7157" width="13.140625" style="2" customWidth="1"/>
    <col min="7158" max="7158" width="14.42578125" style="2" customWidth="1"/>
    <col min="7159" max="7159" width="12.85546875" style="2" customWidth="1"/>
    <col min="7160" max="7165" width="12.28515625" style="2" bestFit="1" customWidth="1"/>
    <col min="7166" max="7173" width="13.85546875" style="2" bestFit="1" customWidth="1"/>
    <col min="7174" max="7174" width="16.28515625" style="2" customWidth="1"/>
    <col min="7175" max="7176" width="11.5703125" style="2"/>
    <col min="7177" max="7177" width="11.7109375" style="2" bestFit="1" customWidth="1"/>
    <col min="7178" max="7178" width="12.28515625" style="2" customWidth="1"/>
    <col min="7179" max="7409" width="11.5703125" style="2"/>
    <col min="7410" max="7410" width="32.42578125" style="2" customWidth="1"/>
    <col min="7411" max="7411" width="13.28515625" style="2" customWidth="1"/>
    <col min="7412" max="7412" width="11.85546875" style="2" customWidth="1"/>
    <col min="7413" max="7413" width="13.140625" style="2" customWidth="1"/>
    <col min="7414" max="7414" width="14.42578125" style="2" customWidth="1"/>
    <col min="7415" max="7415" width="12.85546875" style="2" customWidth="1"/>
    <col min="7416" max="7421" width="12.28515625" style="2" bestFit="1" customWidth="1"/>
    <col min="7422" max="7429" width="13.85546875" style="2" bestFit="1" customWidth="1"/>
    <col min="7430" max="7430" width="16.28515625" style="2" customWidth="1"/>
    <col min="7431" max="7432" width="11.5703125" style="2"/>
    <col min="7433" max="7433" width="11.7109375" style="2" bestFit="1" customWidth="1"/>
    <col min="7434" max="7434" width="12.28515625" style="2" customWidth="1"/>
    <col min="7435" max="7665" width="11.5703125" style="2"/>
    <col min="7666" max="7666" width="32.42578125" style="2" customWidth="1"/>
    <col min="7667" max="7667" width="13.28515625" style="2" customWidth="1"/>
    <col min="7668" max="7668" width="11.85546875" style="2" customWidth="1"/>
    <col min="7669" max="7669" width="13.140625" style="2" customWidth="1"/>
    <col min="7670" max="7670" width="14.42578125" style="2" customWidth="1"/>
    <col min="7671" max="7671" width="12.85546875" style="2" customWidth="1"/>
    <col min="7672" max="7677" width="12.28515625" style="2" bestFit="1" customWidth="1"/>
    <col min="7678" max="7685" width="13.85546875" style="2" bestFit="1" customWidth="1"/>
    <col min="7686" max="7686" width="16.28515625" style="2" customWidth="1"/>
    <col min="7687" max="7688" width="11.5703125" style="2"/>
    <col min="7689" max="7689" width="11.7109375" style="2" bestFit="1" customWidth="1"/>
    <col min="7690" max="7690" width="12.28515625" style="2" customWidth="1"/>
    <col min="7691" max="7921" width="11.5703125" style="2"/>
    <col min="7922" max="7922" width="32.42578125" style="2" customWidth="1"/>
    <col min="7923" max="7923" width="13.28515625" style="2" customWidth="1"/>
    <col min="7924" max="7924" width="11.85546875" style="2" customWidth="1"/>
    <col min="7925" max="7925" width="13.140625" style="2" customWidth="1"/>
    <col min="7926" max="7926" width="14.42578125" style="2" customWidth="1"/>
    <col min="7927" max="7927" width="12.85546875" style="2" customWidth="1"/>
    <col min="7928" max="7933" width="12.28515625" style="2" bestFit="1" customWidth="1"/>
    <col min="7934" max="7941" width="13.85546875" style="2" bestFit="1" customWidth="1"/>
    <col min="7942" max="7942" width="16.28515625" style="2" customWidth="1"/>
    <col min="7943" max="7944" width="11.5703125" style="2"/>
    <col min="7945" max="7945" width="11.7109375" style="2" bestFit="1" customWidth="1"/>
    <col min="7946" max="7946" width="12.28515625" style="2" customWidth="1"/>
    <col min="7947" max="8177" width="11.5703125" style="2"/>
    <col min="8178" max="8178" width="32.42578125" style="2" customWidth="1"/>
    <col min="8179" max="8179" width="13.28515625" style="2" customWidth="1"/>
    <col min="8180" max="8180" width="11.85546875" style="2" customWidth="1"/>
    <col min="8181" max="8181" width="13.140625" style="2" customWidth="1"/>
    <col min="8182" max="8182" width="14.42578125" style="2" customWidth="1"/>
    <col min="8183" max="8183" width="12.85546875" style="2" customWidth="1"/>
    <col min="8184" max="8189" width="12.28515625" style="2" bestFit="1" customWidth="1"/>
    <col min="8190" max="8197" width="13.85546875" style="2" bestFit="1" customWidth="1"/>
    <col min="8198" max="8198" width="16.28515625" style="2" customWidth="1"/>
    <col min="8199" max="8200" width="11.5703125" style="2"/>
    <col min="8201" max="8201" width="11.7109375" style="2" bestFit="1" customWidth="1"/>
    <col min="8202" max="8202" width="12.28515625" style="2" customWidth="1"/>
    <col min="8203" max="8433" width="11.5703125" style="2"/>
    <col min="8434" max="8434" width="32.42578125" style="2" customWidth="1"/>
    <col min="8435" max="8435" width="13.28515625" style="2" customWidth="1"/>
    <col min="8436" max="8436" width="11.85546875" style="2" customWidth="1"/>
    <col min="8437" max="8437" width="13.140625" style="2" customWidth="1"/>
    <col min="8438" max="8438" width="14.42578125" style="2" customWidth="1"/>
    <col min="8439" max="8439" width="12.85546875" style="2" customWidth="1"/>
    <col min="8440" max="8445" width="12.28515625" style="2" bestFit="1" customWidth="1"/>
    <col min="8446" max="8453" width="13.85546875" style="2" bestFit="1" customWidth="1"/>
    <col min="8454" max="8454" width="16.28515625" style="2" customWidth="1"/>
    <col min="8455" max="8456" width="11.5703125" style="2"/>
    <col min="8457" max="8457" width="11.7109375" style="2" bestFit="1" customWidth="1"/>
    <col min="8458" max="8458" width="12.28515625" style="2" customWidth="1"/>
    <col min="8459" max="8689" width="11.5703125" style="2"/>
    <col min="8690" max="8690" width="32.42578125" style="2" customWidth="1"/>
    <col min="8691" max="8691" width="13.28515625" style="2" customWidth="1"/>
    <col min="8692" max="8692" width="11.85546875" style="2" customWidth="1"/>
    <col min="8693" max="8693" width="13.140625" style="2" customWidth="1"/>
    <col min="8694" max="8694" width="14.42578125" style="2" customWidth="1"/>
    <col min="8695" max="8695" width="12.85546875" style="2" customWidth="1"/>
    <col min="8696" max="8701" width="12.28515625" style="2" bestFit="1" customWidth="1"/>
    <col min="8702" max="8709" width="13.85546875" style="2" bestFit="1" customWidth="1"/>
    <col min="8710" max="8710" width="16.28515625" style="2" customWidth="1"/>
    <col min="8711" max="8712" width="11.5703125" style="2"/>
    <col min="8713" max="8713" width="11.7109375" style="2" bestFit="1" customWidth="1"/>
    <col min="8714" max="8714" width="12.28515625" style="2" customWidth="1"/>
    <col min="8715" max="8945" width="11.5703125" style="2"/>
    <col min="8946" max="8946" width="32.42578125" style="2" customWidth="1"/>
    <col min="8947" max="8947" width="13.28515625" style="2" customWidth="1"/>
    <col min="8948" max="8948" width="11.85546875" style="2" customWidth="1"/>
    <col min="8949" max="8949" width="13.140625" style="2" customWidth="1"/>
    <col min="8950" max="8950" width="14.42578125" style="2" customWidth="1"/>
    <col min="8951" max="8951" width="12.85546875" style="2" customWidth="1"/>
    <col min="8952" max="8957" width="12.28515625" style="2" bestFit="1" customWidth="1"/>
    <col min="8958" max="8965" width="13.85546875" style="2" bestFit="1" customWidth="1"/>
    <col min="8966" max="8966" width="16.28515625" style="2" customWidth="1"/>
    <col min="8967" max="8968" width="11.5703125" style="2"/>
    <col min="8969" max="8969" width="11.7109375" style="2" bestFit="1" customWidth="1"/>
    <col min="8970" max="8970" width="12.28515625" style="2" customWidth="1"/>
    <col min="8971" max="9201" width="11.5703125" style="2"/>
    <col min="9202" max="9202" width="32.42578125" style="2" customWidth="1"/>
    <col min="9203" max="9203" width="13.28515625" style="2" customWidth="1"/>
    <col min="9204" max="9204" width="11.85546875" style="2" customWidth="1"/>
    <col min="9205" max="9205" width="13.140625" style="2" customWidth="1"/>
    <col min="9206" max="9206" width="14.42578125" style="2" customWidth="1"/>
    <col min="9207" max="9207" width="12.85546875" style="2" customWidth="1"/>
    <col min="9208" max="9213" width="12.28515625" style="2" bestFit="1" customWidth="1"/>
    <col min="9214" max="9221" width="13.85546875" style="2" bestFit="1" customWidth="1"/>
    <col min="9222" max="9222" width="16.28515625" style="2" customWidth="1"/>
    <col min="9223" max="9224" width="11.5703125" style="2"/>
    <col min="9225" max="9225" width="11.7109375" style="2" bestFit="1" customWidth="1"/>
    <col min="9226" max="9226" width="12.28515625" style="2" customWidth="1"/>
    <col min="9227" max="9457" width="11.5703125" style="2"/>
    <col min="9458" max="9458" width="32.42578125" style="2" customWidth="1"/>
    <col min="9459" max="9459" width="13.28515625" style="2" customWidth="1"/>
    <col min="9460" max="9460" width="11.85546875" style="2" customWidth="1"/>
    <col min="9461" max="9461" width="13.140625" style="2" customWidth="1"/>
    <col min="9462" max="9462" width="14.42578125" style="2" customWidth="1"/>
    <col min="9463" max="9463" width="12.85546875" style="2" customWidth="1"/>
    <col min="9464" max="9469" width="12.28515625" style="2" bestFit="1" customWidth="1"/>
    <col min="9470" max="9477" width="13.85546875" style="2" bestFit="1" customWidth="1"/>
    <col min="9478" max="9478" width="16.28515625" style="2" customWidth="1"/>
    <col min="9479" max="9480" width="11.5703125" style="2"/>
    <col min="9481" max="9481" width="11.7109375" style="2" bestFit="1" customWidth="1"/>
    <col min="9482" max="9482" width="12.28515625" style="2" customWidth="1"/>
    <col min="9483" max="9713" width="11.5703125" style="2"/>
    <col min="9714" max="9714" width="32.42578125" style="2" customWidth="1"/>
    <col min="9715" max="9715" width="13.28515625" style="2" customWidth="1"/>
    <col min="9716" max="9716" width="11.85546875" style="2" customWidth="1"/>
    <col min="9717" max="9717" width="13.140625" style="2" customWidth="1"/>
    <col min="9718" max="9718" width="14.42578125" style="2" customWidth="1"/>
    <col min="9719" max="9719" width="12.85546875" style="2" customWidth="1"/>
    <col min="9720" max="9725" width="12.28515625" style="2" bestFit="1" customWidth="1"/>
    <col min="9726" max="9733" width="13.85546875" style="2" bestFit="1" customWidth="1"/>
    <col min="9734" max="9734" width="16.28515625" style="2" customWidth="1"/>
    <col min="9735" max="9736" width="11.5703125" style="2"/>
    <col min="9737" max="9737" width="11.7109375" style="2" bestFit="1" customWidth="1"/>
    <col min="9738" max="9738" width="12.28515625" style="2" customWidth="1"/>
    <col min="9739" max="9969" width="11.5703125" style="2"/>
    <col min="9970" max="9970" width="32.42578125" style="2" customWidth="1"/>
    <col min="9971" max="9971" width="13.28515625" style="2" customWidth="1"/>
    <col min="9972" max="9972" width="11.85546875" style="2" customWidth="1"/>
    <col min="9973" max="9973" width="13.140625" style="2" customWidth="1"/>
    <col min="9974" max="9974" width="14.42578125" style="2" customWidth="1"/>
    <col min="9975" max="9975" width="12.85546875" style="2" customWidth="1"/>
    <col min="9976" max="9981" width="12.28515625" style="2" bestFit="1" customWidth="1"/>
    <col min="9982" max="9989" width="13.85546875" style="2" bestFit="1" customWidth="1"/>
    <col min="9990" max="9990" width="16.28515625" style="2" customWidth="1"/>
    <col min="9991" max="9992" width="11.5703125" style="2"/>
    <col min="9993" max="9993" width="11.7109375" style="2" bestFit="1" customWidth="1"/>
    <col min="9994" max="9994" width="12.28515625" style="2" customWidth="1"/>
    <col min="9995" max="10225" width="11.5703125" style="2"/>
    <col min="10226" max="10226" width="32.42578125" style="2" customWidth="1"/>
    <col min="10227" max="10227" width="13.28515625" style="2" customWidth="1"/>
    <col min="10228" max="10228" width="11.85546875" style="2" customWidth="1"/>
    <col min="10229" max="10229" width="13.140625" style="2" customWidth="1"/>
    <col min="10230" max="10230" width="14.42578125" style="2" customWidth="1"/>
    <col min="10231" max="10231" width="12.85546875" style="2" customWidth="1"/>
    <col min="10232" max="10237" width="12.28515625" style="2" bestFit="1" customWidth="1"/>
    <col min="10238" max="10245" width="13.85546875" style="2" bestFit="1" customWidth="1"/>
    <col min="10246" max="10246" width="16.28515625" style="2" customWidth="1"/>
    <col min="10247" max="10248" width="11.5703125" style="2"/>
    <col min="10249" max="10249" width="11.7109375" style="2" bestFit="1" customWidth="1"/>
    <col min="10250" max="10250" width="12.28515625" style="2" customWidth="1"/>
    <col min="10251" max="10481" width="11.5703125" style="2"/>
    <col min="10482" max="10482" width="32.42578125" style="2" customWidth="1"/>
    <col min="10483" max="10483" width="13.28515625" style="2" customWidth="1"/>
    <col min="10484" max="10484" width="11.85546875" style="2" customWidth="1"/>
    <col min="10485" max="10485" width="13.140625" style="2" customWidth="1"/>
    <col min="10486" max="10486" width="14.42578125" style="2" customWidth="1"/>
    <col min="10487" max="10487" width="12.85546875" style="2" customWidth="1"/>
    <col min="10488" max="10493" width="12.28515625" style="2" bestFit="1" customWidth="1"/>
    <col min="10494" max="10501" width="13.85546875" style="2" bestFit="1" customWidth="1"/>
    <col min="10502" max="10502" width="16.28515625" style="2" customWidth="1"/>
    <col min="10503" max="10504" width="11.5703125" style="2"/>
    <col min="10505" max="10505" width="11.7109375" style="2" bestFit="1" customWidth="1"/>
    <col min="10506" max="10506" width="12.28515625" style="2" customWidth="1"/>
    <col min="10507" max="10737" width="11.5703125" style="2"/>
    <col min="10738" max="10738" width="32.42578125" style="2" customWidth="1"/>
    <col min="10739" max="10739" width="13.28515625" style="2" customWidth="1"/>
    <col min="10740" max="10740" width="11.85546875" style="2" customWidth="1"/>
    <col min="10741" max="10741" width="13.140625" style="2" customWidth="1"/>
    <col min="10742" max="10742" width="14.42578125" style="2" customWidth="1"/>
    <col min="10743" max="10743" width="12.85546875" style="2" customWidth="1"/>
    <col min="10744" max="10749" width="12.28515625" style="2" bestFit="1" customWidth="1"/>
    <col min="10750" max="10757" width="13.85546875" style="2" bestFit="1" customWidth="1"/>
    <col min="10758" max="10758" width="16.28515625" style="2" customWidth="1"/>
    <col min="10759" max="10760" width="11.5703125" style="2"/>
    <col min="10761" max="10761" width="11.7109375" style="2" bestFit="1" customWidth="1"/>
    <col min="10762" max="10762" width="12.28515625" style="2" customWidth="1"/>
    <col min="10763" max="10993" width="11.5703125" style="2"/>
    <col min="10994" max="10994" width="32.42578125" style="2" customWidth="1"/>
    <col min="10995" max="10995" width="13.28515625" style="2" customWidth="1"/>
    <col min="10996" max="10996" width="11.85546875" style="2" customWidth="1"/>
    <col min="10997" max="10997" width="13.140625" style="2" customWidth="1"/>
    <col min="10998" max="10998" width="14.42578125" style="2" customWidth="1"/>
    <col min="10999" max="10999" width="12.85546875" style="2" customWidth="1"/>
    <col min="11000" max="11005" width="12.28515625" style="2" bestFit="1" customWidth="1"/>
    <col min="11006" max="11013" width="13.85546875" style="2" bestFit="1" customWidth="1"/>
    <col min="11014" max="11014" width="16.28515625" style="2" customWidth="1"/>
    <col min="11015" max="11016" width="11.5703125" style="2"/>
    <col min="11017" max="11017" width="11.7109375" style="2" bestFit="1" customWidth="1"/>
    <col min="11018" max="11018" width="12.28515625" style="2" customWidth="1"/>
    <col min="11019" max="11249" width="11.5703125" style="2"/>
    <col min="11250" max="11250" width="32.42578125" style="2" customWidth="1"/>
    <col min="11251" max="11251" width="13.28515625" style="2" customWidth="1"/>
    <col min="11252" max="11252" width="11.85546875" style="2" customWidth="1"/>
    <col min="11253" max="11253" width="13.140625" style="2" customWidth="1"/>
    <col min="11254" max="11254" width="14.42578125" style="2" customWidth="1"/>
    <col min="11255" max="11255" width="12.85546875" style="2" customWidth="1"/>
    <col min="11256" max="11261" width="12.28515625" style="2" bestFit="1" customWidth="1"/>
    <col min="11262" max="11269" width="13.85546875" style="2" bestFit="1" customWidth="1"/>
    <col min="11270" max="11270" width="16.28515625" style="2" customWidth="1"/>
    <col min="11271" max="11272" width="11.5703125" style="2"/>
    <col min="11273" max="11273" width="11.7109375" style="2" bestFit="1" customWidth="1"/>
    <col min="11274" max="11274" width="12.28515625" style="2" customWidth="1"/>
    <col min="11275" max="11505" width="11.5703125" style="2"/>
    <col min="11506" max="11506" width="32.42578125" style="2" customWidth="1"/>
    <col min="11507" max="11507" width="13.28515625" style="2" customWidth="1"/>
    <col min="11508" max="11508" width="11.85546875" style="2" customWidth="1"/>
    <col min="11509" max="11509" width="13.140625" style="2" customWidth="1"/>
    <col min="11510" max="11510" width="14.42578125" style="2" customWidth="1"/>
    <col min="11511" max="11511" width="12.85546875" style="2" customWidth="1"/>
    <col min="11512" max="11517" width="12.28515625" style="2" bestFit="1" customWidth="1"/>
    <col min="11518" max="11525" width="13.85546875" style="2" bestFit="1" customWidth="1"/>
    <col min="11526" max="11526" width="16.28515625" style="2" customWidth="1"/>
    <col min="11527" max="11528" width="11.5703125" style="2"/>
    <col min="11529" max="11529" width="11.7109375" style="2" bestFit="1" customWidth="1"/>
    <col min="11530" max="11530" width="12.28515625" style="2" customWidth="1"/>
    <col min="11531" max="11761" width="11.5703125" style="2"/>
    <col min="11762" max="11762" width="32.42578125" style="2" customWidth="1"/>
    <col min="11763" max="11763" width="13.28515625" style="2" customWidth="1"/>
    <col min="11764" max="11764" width="11.85546875" style="2" customWidth="1"/>
    <col min="11765" max="11765" width="13.140625" style="2" customWidth="1"/>
    <col min="11766" max="11766" width="14.42578125" style="2" customWidth="1"/>
    <col min="11767" max="11767" width="12.85546875" style="2" customWidth="1"/>
    <col min="11768" max="11773" width="12.28515625" style="2" bestFit="1" customWidth="1"/>
    <col min="11774" max="11781" width="13.85546875" style="2" bestFit="1" customWidth="1"/>
    <col min="11782" max="11782" width="16.28515625" style="2" customWidth="1"/>
    <col min="11783" max="11784" width="11.5703125" style="2"/>
    <col min="11785" max="11785" width="11.7109375" style="2" bestFit="1" customWidth="1"/>
    <col min="11786" max="11786" width="12.28515625" style="2" customWidth="1"/>
    <col min="11787" max="12017" width="11.5703125" style="2"/>
    <col min="12018" max="12018" width="32.42578125" style="2" customWidth="1"/>
    <col min="12019" max="12019" width="13.28515625" style="2" customWidth="1"/>
    <col min="12020" max="12020" width="11.85546875" style="2" customWidth="1"/>
    <col min="12021" max="12021" width="13.140625" style="2" customWidth="1"/>
    <col min="12022" max="12022" width="14.42578125" style="2" customWidth="1"/>
    <col min="12023" max="12023" width="12.85546875" style="2" customWidth="1"/>
    <col min="12024" max="12029" width="12.28515625" style="2" bestFit="1" customWidth="1"/>
    <col min="12030" max="12037" width="13.85546875" style="2" bestFit="1" customWidth="1"/>
    <col min="12038" max="12038" width="16.28515625" style="2" customWidth="1"/>
    <col min="12039" max="12040" width="11.5703125" style="2"/>
    <col min="12041" max="12041" width="11.7109375" style="2" bestFit="1" customWidth="1"/>
    <col min="12042" max="12042" width="12.28515625" style="2" customWidth="1"/>
    <col min="12043" max="12273" width="11.5703125" style="2"/>
    <col min="12274" max="12274" width="32.42578125" style="2" customWidth="1"/>
    <col min="12275" max="12275" width="13.28515625" style="2" customWidth="1"/>
    <col min="12276" max="12276" width="11.85546875" style="2" customWidth="1"/>
    <col min="12277" max="12277" width="13.140625" style="2" customWidth="1"/>
    <col min="12278" max="12278" width="14.42578125" style="2" customWidth="1"/>
    <col min="12279" max="12279" width="12.85546875" style="2" customWidth="1"/>
    <col min="12280" max="12285" width="12.28515625" style="2" bestFit="1" customWidth="1"/>
    <col min="12286" max="12293" width="13.85546875" style="2" bestFit="1" customWidth="1"/>
    <col min="12294" max="12294" width="16.28515625" style="2" customWidth="1"/>
    <col min="12295" max="12296" width="11.5703125" style="2"/>
    <col min="12297" max="12297" width="11.7109375" style="2" bestFit="1" customWidth="1"/>
    <col min="12298" max="12298" width="12.28515625" style="2" customWidth="1"/>
    <col min="12299" max="12529" width="11.5703125" style="2"/>
    <col min="12530" max="12530" width="32.42578125" style="2" customWidth="1"/>
    <col min="12531" max="12531" width="13.28515625" style="2" customWidth="1"/>
    <col min="12532" max="12532" width="11.85546875" style="2" customWidth="1"/>
    <col min="12533" max="12533" width="13.140625" style="2" customWidth="1"/>
    <col min="12534" max="12534" width="14.42578125" style="2" customWidth="1"/>
    <col min="12535" max="12535" width="12.85546875" style="2" customWidth="1"/>
    <col min="12536" max="12541" width="12.28515625" style="2" bestFit="1" customWidth="1"/>
    <col min="12542" max="12549" width="13.85546875" style="2" bestFit="1" customWidth="1"/>
    <col min="12550" max="12550" width="16.28515625" style="2" customWidth="1"/>
    <col min="12551" max="12552" width="11.5703125" style="2"/>
    <col min="12553" max="12553" width="11.7109375" style="2" bestFit="1" customWidth="1"/>
    <col min="12554" max="12554" width="12.28515625" style="2" customWidth="1"/>
    <col min="12555" max="12785" width="11.5703125" style="2"/>
    <col min="12786" max="12786" width="32.42578125" style="2" customWidth="1"/>
    <col min="12787" max="12787" width="13.28515625" style="2" customWidth="1"/>
    <col min="12788" max="12788" width="11.85546875" style="2" customWidth="1"/>
    <col min="12789" max="12789" width="13.140625" style="2" customWidth="1"/>
    <col min="12790" max="12790" width="14.42578125" style="2" customWidth="1"/>
    <col min="12791" max="12791" width="12.85546875" style="2" customWidth="1"/>
    <col min="12792" max="12797" width="12.28515625" style="2" bestFit="1" customWidth="1"/>
    <col min="12798" max="12805" width="13.85546875" style="2" bestFit="1" customWidth="1"/>
    <col min="12806" max="12806" width="16.28515625" style="2" customWidth="1"/>
    <col min="12807" max="12808" width="11.5703125" style="2"/>
    <col min="12809" max="12809" width="11.7109375" style="2" bestFit="1" customWidth="1"/>
    <col min="12810" max="12810" width="12.28515625" style="2" customWidth="1"/>
    <col min="12811" max="13041" width="11.5703125" style="2"/>
    <col min="13042" max="13042" width="32.42578125" style="2" customWidth="1"/>
    <col min="13043" max="13043" width="13.28515625" style="2" customWidth="1"/>
    <col min="13044" max="13044" width="11.85546875" style="2" customWidth="1"/>
    <col min="13045" max="13045" width="13.140625" style="2" customWidth="1"/>
    <col min="13046" max="13046" width="14.42578125" style="2" customWidth="1"/>
    <col min="13047" max="13047" width="12.85546875" style="2" customWidth="1"/>
    <col min="13048" max="13053" width="12.28515625" style="2" bestFit="1" customWidth="1"/>
    <col min="13054" max="13061" width="13.85546875" style="2" bestFit="1" customWidth="1"/>
    <col min="13062" max="13062" width="16.28515625" style="2" customWidth="1"/>
    <col min="13063" max="13064" width="11.5703125" style="2"/>
    <col min="13065" max="13065" width="11.7109375" style="2" bestFit="1" customWidth="1"/>
    <col min="13066" max="13066" width="12.28515625" style="2" customWidth="1"/>
    <col min="13067" max="13297" width="11.5703125" style="2"/>
    <col min="13298" max="13298" width="32.42578125" style="2" customWidth="1"/>
    <col min="13299" max="13299" width="13.28515625" style="2" customWidth="1"/>
    <col min="13300" max="13300" width="11.85546875" style="2" customWidth="1"/>
    <col min="13301" max="13301" width="13.140625" style="2" customWidth="1"/>
    <col min="13302" max="13302" width="14.42578125" style="2" customWidth="1"/>
    <col min="13303" max="13303" width="12.85546875" style="2" customWidth="1"/>
    <col min="13304" max="13309" width="12.28515625" style="2" bestFit="1" customWidth="1"/>
    <col min="13310" max="13317" width="13.85546875" style="2" bestFit="1" customWidth="1"/>
    <col min="13318" max="13318" width="16.28515625" style="2" customWidth="1"/>
    <col min="13319" max="13320" width="11.5703125" style="2"/>
    <col min="13321" max="13321" width="11.7109375" style="2" bestFit="1" customWidth="1"/>
    <col min="13322" max="13322" width="12.28515625" style="2" customWidth="1"/>
    <col min="13323" max="13553" width="11.5703125" style="2"/>
    <col min="13554" max="13554" width="32.42578125" style="2" customWidth="1"/>
    <col min="13555" max="13555" width="13.28515625" style="2" customWidth="1"/>
    <col min="13556" max="13556" width="11.85546875" style="2" customWidth="1"/>
    <col min="13557" max="13557" width="13.140625" style="2" customWidth="1"/>
    <col min="13558" max="13558" width="14.42578125" style="2" customWidth="1"/>
    <col min="13559" max="13559" width="12.85546875" style="2" customWidth="1"/>
    <col min="13560" max="13565" width="12.28515625" style="2" bestFit="1" customWidth="1"/>
    <col min="13566" max="13573" width="13.85546875" style="2" bestFit="1" customWidth="1"/>
    <col min="13574" max="13574" width="16.28515625" style="2" customWidth="1"/>
    <col min="13575" max="13576" width="11.5703125" style="2"/>
    <col min="13577" max="13577" width="11.7109375" style="2" bestFit="1" customWidth="1"/>
    <col min="13578" max="13578" width="12.28515625" style="2" customWidth="1"/>
    <col min="13579" max="13809" width="11.5703125" style="2"/>
    <col min="13810" max="13810" width="32.42578125" style="2" customWidth="1"/>
    <col min="13811" max="13811" width="13.28515625" style="2" customWidth="1"/>
    <col min="13812" max="13812" width="11.85546875" style="2" customWidth="1"/>
    <col min="13813" max="13813" width="13.140625" style="2" customWidth="1"/>
    <col min="13814" max="13814" width="14.42578125" style="2" customWidth="1"/>
    <col min="13815" max="13815" width="12.85546875" style="2" customWidth="1"/>
    <col min="13816" max="13821" width="12.28515625" style="2" bestFit="1" customWidth="1"/>
    <col min="13822" max="13829" width="13.85546875" style="2" bestFit="1" customWidth="1"/>
    <col min="13830" max="13830" width="16.28515625" style="2" customWidth="1"/>
    <col min="13831" max="13832" width="11.5703125" style="2"/>
    <col min="13833" max="13833" width="11.7109375" style="2" bestFit="1" customWidth="1"/>
    <col min="13834" max="13834" width="12.28515625" style="2" customWidth="1"/>
    <col min="13835" max="14065" width="11.5703125" style="2"/>
    <col min="14066" max="14066" width="32.42578125" style="2" customWidth="1"/>
    <col min="14067" max="14067" width="13.28515625" style="2" customWidth="1"/>
    <col min="14068" max="14068" width="11.85546875" style="2" customWidth="1"/>
    <col min="14069" max="14069" width="13.140625" style="2" customWidth="1"/>
    <col min="14070" max="14070" width="14.42578125" style="2" customWidth="1"/>
    <col min="14071" max="14071" width="12.85546875" style="2" customWidth="1"/>
    <col min="14072" max="14077" width="12.28515625" style="2" bestFit="1" customWidth="1"/>
    <col min="14078" max="14085" width="13.85546875" style="2" bestFit="1" customWidth="1"/>
    <col min="14086" max="14086" width="16.28515625" style="2" customWidth="1"/>
    <col min="14087" max="14088" width="11.5703125" style="2"/>
    <col min="14089" max="14089" width="11.7109375" style="2" bestFit="1" customWidth="1"/>
    <col min="14090" max="14090" width="12.28515625" style="2" customWidth="1"/>
    <col min="14091" max="14321" width="11.5703125" style="2"/>
    <col min="14322" max="14322" width="32.42578125" style="2" customWidth="1"/>
    <col min="14323" max="14323" width="13.28515625" style="2" customWidth="1"/>
    <col min="14324" max="14324" width="11.85546875" style="2" customWidth="1"/>
    <col min="14325" max="14325" width="13.140625" style="2" customWidth="1"/>
    <col min="14326" max="14326" width="14.42578125" style="2" customWidth="1"/>
    <col min="14327" max="14327" width="12.85546875" style="2" customWidth="1"/>
    <col min="14328" max="14333" width="12.28515625" style="2" bestFit="1" customWidth="1"/>
    <col min="14334" max="14341" width="13.85546875" style="2" bestFit="1" customWidth="1"/>
    <col min="14342" max="14342" width="16.28515625" style="2" customWidth="1"/>
    <col min="14343" max="14344" width="11.5703125" style="2"/>
    <col min="14345" max="14345" width="11.7109375" style="2" bestFit="1" customWidth="1"/>
    <col min="14346" max="14346" width="12.28515625" style="2" customWidth="1"/>
    <col min="14347" max="14577" width="11.5703125" style="2"/>
    <col min="14578" max="14578" width="32.42578125" style="2" customWidth="1"/>
    <col min="14579" max="14579" width="13.28515625" style="2" customWidth="1"/>
    <col min="14580" max="14580" width="11.85546875" style="2" customWidth="1"/>
    <col min="14581" max="14581" width="13.140625" style="2" customWidth="1"/>
    <col min="14582" max="14582" width="14.42578125" style="2" customWidth="1"/>
    <col min="14583" max="14583" width="12.85546875" style="2" customWidth="1"/>
    <col min="14584" max="14589" width="12.28515625" style="2" bestFit="1" customWidth="1"/>
    <col min="14590" max="14597" width="13.85546875" style="2" bestFit="1" customWidth="1"/>
    <col min="14598" max="14598" width="16.28515625" style="2" customWidth="1"/>
    <col min="14599" max="14600" width="11.5703125" style="2"/>
    <col min="14601" max="14601" width="11.7109375" style="2" bestFit="1" customWidth="1"/>
    <col min="14602" max="14602" width="12.28515625" style="2" customWidth="1"/>
    <col min="14603" max="14833" width="11.5703125" style="2"/>
    <col min="14834" max="14834" width="32.42578125" style="2" customWidth="1"/>
    <col min="14835" max="14835" width="13.28515625" style="2" customWidth="1"/>
    <col min="14836" max="14836" width="11.85546875" style="2" customWidth="1"/>
    <col min="14837" max="14837" width="13.140625" style="2" customWidth="1"/>
    <col min="14838" max="14838" width="14.42578125" style="2" customWidth="1"/>
    <col min="14839" max="14839" width="12.85546875" style="2" customWidth="1"/>
    <col min="14840" max="14845" width="12.28515625" style="2" bestFit="1" customWidth="1"/>
    <col min="14846" max="14853" width="13.85546875" style="2" bestFit="1" customWidth="1"/>
    <col min="14854" max="14854" width="16.28515625" style="2" customWidth="1"/>
    <col min="14855" max="14856" width="11.5703125" style="2"/>
    <col min="14857" max="14857" width="11.7109375" style="2" bestFit="1" customWidth="1"/>
    <col min="14858" max="14858" width="12.28515625" style="2" customWidth="1"/>
    <col min="14859" max="15089" width="11.5703125" style="2"/>
    <col min="15090" max="15090" width="32.42578125" style="2" customWidth="1"/>
    <col min="15091" max="15091" width="13.28515625" style="2" customWidth="1"/>
    <col min="15092" max="15092" width="11.85546875" style="2" customWidth="1"/>
    <col min="15093" max="15093" width="13.140625" style="2" customWidth="1"/>
    <col min="15094" max="15094" width="14.42578125" style="2" customWidth="1"/>
    <col min="15095" max="15095" width="12.85546875" style="2" customWidth="1"/>
    <col min="15096" max="15101" width="12.28515625" style="2" bestFit="1" customWidth="1"/>
    <col min="15102" max="15109" width="13.85546875" style="2" bestFit="1" customWidth="1"/>
    <col min="15110" max="15110" width="16.28515625" style="2" customWidth="1"/>
    <col min="15111" max="15112" width="11.5703125" style="2"/>
    <col min="15113" max="15113" width="11.7109375" style="2" bestFit="1" customWidth="1"/>
    <col min="15114" max="15114" width="12.28515625" style="2" customWidth="1"/>
    <col min="15115" max="15345" width="11.5703125" style="2"/>
    <col min="15346" max="15346" width="32.42578125" style="2" customWidth="1"/>
    <col min="15347" max="15347" width="13.28515625" style="2" customWidth="1"/>
    <col min="15348" max="15348" width="11.85546875" style="2" customWidth="1"/>
    <col min="15349" max="15349" width="13.140625" style="2" customWidth="1"/>
    <col min="15350" max="15350" width="14.42578125" style="2" customWidth="1"/>
    <col min="15351" max="15351" width="12.85546875" style="2" customWidth="1"/>
    <col min="15352" max="15357" width="12.28515625" style="2" bestFit="1" customWidth="1"/>
    <col min="15358" max="15365" width="13.85546875" style="2" bestFit="1" customWidth="1"/>
    <col min="15366" max="15366" width="16.28515625" style="2" customWidth="1"/>
    <col min="15367" max="15368" width="11.5703125" style="2"/>
    <col min="15369" max="15369" width="11.7109375" style="2" bestFit="1" customWidth="1"/>
    <col min="15370" max="15370" width="12.28515625" style="2" customWidth="1"/>
    <col min="15371" max="15601" width="11.5703125" style="2"/>
    <col min="15602" max="15602" width="32.42578125" style="2" customWidth="1"/>
    <col min="15603" max="15603" width="13.28515625" style="2" customWidth="1"/>
    <col min="15604" max="15604" width="11.85546875" style="2" customWidth="1"/>
    <col min="15605" max="15605" width="13.140625" style="2" customWidth="1"/>
    <col min="15606" max="15606" width="14.42578125" style="2" customWidth="1"/>
    <col min="15607" max="15607" width="12.85546875" style="2" customWidth="1"/>
    <col min="15608" max="15613" width="12.28515625" style="2" bestFit="1" customWidth="1"/>
    <col min="15614" max="15621" width="13.85546875" style="2" bestFit="1" customWidth="1"/>
    <col min="15622" max="15622" width="16.28515625" style="2" customWidth="1"/>
    <col min="15623" max="15624" width="11.5703125" style="2"/>
    <col min="15625" max="15625" width="11.7109375" style="2" bestFit="1" customWidth="1"/>
    <col min="15626" max="15626" width="12.28515625" style="2" customWidth="1"/>
    <col min="15627" max="15857" width="11.5703125" style="2"/>
    <col min="15858" max="15858" width="32.42578125" style="2" customWidth="1"/>
    <col min="15859" max="15859" width="13.28515625" style="2" customWidth="1"/>
    <col min="15860" max="15860" width="11.85546875" style="2" customWidth="1"/>
    <col min="15861" max="15861" width="13.140625" style="2" customWidth="1"/>
    <col min="15862" max="15862" width="14.42578125" style="2" customWidth="1"/>
    <col min="15863" max="15863" width="12.85546875" style="2" customWidth="1"/>
    <col min="15864" max="15869" width="12.28515625" style="2" bestFit="1" customWidth="1"/>
    <col min="15870" max="15877" width="13.85546875" style="2" bestFit="1" customWidth="1"/>
    <col min="15878" max="15878" width="16.28515625" style="2" customWidth="1"/>
    <col min="15879" max="15880" width="11.5703125" style="2"/>
    <col min="15881" max="15881" width="11.7109375" style="2" bestFit="1" customWidth="1"/>
    <col min="15882" max="15882" width="12.28515625" style="2" customWidth="1"/>
    <col min="15883" max="16113" width="11.5703125" style="2"/>
    <col min="16114" max="16114" width="32.42578125" style="2" customWidth="1"/>
    <col min="16115" max="16115" width="13.28515625" style="2" customWidth="1"/>
    <col min="16116" max="16116" width="11.85546875" style="2" customWidth="1"/>
    <col min="16117" max="16117" width="13.140625" style="2" customWidth="1"/>
    <col min="16118" max="16118" width="14.42578125" style="2" customWidth="1"/>
    <col min="16119" max="16119" width="12.85546875" style="2" customWidth="1"/>
    <col min="16120" max="16125" width="12.28515625" style="2" bestFit="1" customWidth="1"/>
    <col min="16126" max="16133" width="13.85546875" style="2" bestFit="1" customWidth="1"/>
    <col min="16134" max="16134" width="16.28515625" style="2" customWidth="1"/>
    <col min="16135" max="16136" width="11.5703125" style="2"/>
    <col min="16137" max="16137" width="11.7109375" style="2" bestFit="1" customWidth="1"/>
    <col min="16138" max="16138" width="12.28515625" style="2" customWidth="1"/>
    <col min="16139" max="16384" width="11.5703125" style="2"/>
  </cols>
  <sheetData>
    <row r="1" spans="1:145" x14ac:dyDescent="0.25">
      <c r="A1" s="3"/>
      <c r="B1" s="3"/>
      <c r="C1" s="3"/>
      <c r="D1" s="3"/>
      <c r="E1" s="34" t="s">
        <v>182</v>
      </c>
      <c r="F1" s="3"/>
      <c r="G1" s="3"/>
      <c r="H1" s="3"/>
    </row>
    <row r="2" spans="1:145" ht="16.5" thickBot="1" x14ac:dyDescent="0.3">
      <c r="C2" s="3"/>
      <c r="D2" s="3"/>
      <c r="F2" s="3"/>
      <c r="G2" s="3"/>
      <c r="H2" s="5"/>
    </row>
    <row r="3" spans="1:145" s="178" customFormat="1" ht="21" customHeight="1" thickBot="1" x14ac:dyDescent="0.3">
      <c r="A3" s="172"/>
      <c r="B3" s="172"/>
      <c r="C3" s="173" t="s">
        <v>202</v>
      </c>
      <c r="D3" s="173" t="s">
        <v>184</v>
      </c>
      <c r="E3" s="173" t="s">
        <v>185</v>
      </c>
      <c r="F3" s="173" t="s">
        <v>186</v>
      </c>
      <c r="G3" s="173" t="s">
        <v>187</v>
      </c>
      <c r="H3" s="173" t="s">
        <v>190</v>
      </c>
      <c r="I3" s="173" t="s">
        <v>215</v>
      </c>
      <c r="J3" s="173" t="s">
        <v>216</v>
      </c>
      <c r="K3" s="173" t="s">
        <v>217</v>
      </c>
      <c r="L3" s="173" t="s">
        <v>218</v>
      </c>
      <c r="M3" s="173" t="s">
        <v>219</v>
      </c>
      <c r="N3" s="173" t="s">
        <v>220</v>
      </c>
      <c r="O3" s="173" t="s">
        <v>221</v>
      </c>
    </row>
    <row r="4" spans="1:145" s="178" customFormat="1" x14ac:dyDescent="0.25">
      <c r="A4" s="33"/>
      <c r="B4" s="33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</row>
    <row r="5" spans="1:145" x14ac:dyDescent="0.25">
      <c r="A5" s="141" t="s">
        <v>197</v>
      </c>
      <c r="B5" s="142" t="s">
        <v>5</v>
      </c>
    </row>
    <row r="6" spans="1:145" x14ac:dyDescent="0.25">
      <c r="A6" s="140" t="s">
        <v>198</v>
      </c>
      <c r="B6" s="121"/>
      <c r="D6" s="97">
        <v>0</v>
      </c>
      <c r="E6" s="97"/>
      <c r="F6" s="97"/>
      <c r="G6" s="97">
        <v>54400</v>
      </c>
      <c r="H6" s="97">
        <v>0</v>
      </c>
      <c r="I6" s="97"/>
      <c r="J6" s="97"/>
      <c r="K6" s="97">
        <v>54400</v>
      </c>
      <c r="L6" s="97">
        <v>0</v>
      </c>
      <c r="M6" s="97"/>
      <c r="N6" s="97"/>
      <c r="O6" s="97">
        <v>54400</v>
      </c>
    </row>
    <row r="7" spans="1:145" x14ac:dyDescent="0.25">
      <c r="A7" s="143" t="s">
        <v>196</v>
      </c>
      <c r="B7" s="141"/>
      <c r="D7" s="148">
        <f t="shared" ref="D7:O7" si="0">SUM(D6:D6)</f>
        <v>0</v>
      </c>
      <c r="E7" s="148">
        <f t="shared" si="0"/>
        <v>0</v>
      </c>
      <c r="F7" s="148">
        <f t="shared" si="0"/>
        <v>0</v>
      </c>
      <c r="G7" s="148">
        <f t="shared" si="0"/>
        <v>54400</v>
      </c>
      <c r="H7" s="148">
        <f t="shared" si="0"/>
        <v>0</v>
      </c>
      <c r="I7" s="148">
        <f t="shared" si="0"/>
        <v>0</v>
      </c>
      <c r="J7" s="148">
        <f t="shared" si="0"/>
        <v>0</v>
      </c>
      <c r="K7" s="148">
        <f t="shared" si="0"/>
        <v>54400</v>
      </c>
      <c r="L7" s="148">
        <f t="shared" si="0"/>
        <v>0</v>
      </c>
      <c r="M7" s="148">
        <f t="shared" si="0"/>
        <v>0</v>
      </c>
      <c r="N7" s="148">
        <f t="shared" si="0"/>
        <v>0</v>
      </c>
      <c r="O7" s="148">
        <f t="shared" si="0"/>
        <v>54400</v>
      </c>
    </row>
    <row r="8" spans="1:145" x14ac:dyDescent="0.25">
      <c r="A8" s="3"/>
      <c r="B8" s="3"/>
      <c r="D8" s="3"/>
      <c r="E8" s="3"/>
      <c r="F8" s="3"/>
      <c r="G8" s="144"/>
      <c r="H8" s="3"/>
      <c r="I8" s="3"/>
      <c r="J8" s="3"/>
      <c r="K8" s="144"/>
      <c r="L8" s="3"/>
      <c r="M8" s="3"/>
      <c r="N8" s="3"/>
      <c r="O8" s="144"/>
    </row>
    <row r="9" spans="1:145" s="71" customFormat="1" x14ac:dyDescent="0.25">
      <c r="A9" s="33" t="s">
        <v>199</v>
      </c>
      <c r="B9" s="33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45" s="71" customFormat="1" x14ac:dyDescent="0.25">
      <c r="A10" s="167" t="s">
        <v>183</v>
      </c>
      <c r="B10" s="145">
        <v>10000</v>
      </c>
      <c r="D10" s="147">
        <v>10000</v>
      </c>
      <c r="E10" s="147"/>
      <c r="F10" s="147"/>
      <c r="G10" s="147"/>
      <c r="H10" s="147">
        <v>10000</v>
      </c>
      <c r="I10" s="147"/>
      <c r="J10" s="147"/>
      <c r="K10" s="147"/>
      <c r="L10" s="147">
        <v>10000</v>
      </c>
      <c r="M10" s="147"/>
      <c r="N10" s="147"/>
      <c r="O10" s="147"/>
    </row>
    <row r="11" spans="1:145" s="73" customFormat="1" x14ac:dyDescent="0.25">
      <c r="A11" s="35" t="s">
        <v>205</v>
      </c>
      <c r="B11" s="56"/>
      <c r="D11" s="105">
        <v>7609.0441100000007</v>
      </c>
      <c r="E11" s="105">
        <v>9544.9826900000007</v>
      </c>
      <c r="F11" s="105">
        <v>1977.54</v>
      </c>
      <c r="G11" s="105">
        <v>0</v>
      </c>
      <c r="H11" s="105">
        <v>7609.0441100000007</v>
      </c>
      <c r="I11" s="105">
        <v>9544.9826900000007</v>
      </c>
      <c r="J11" s="105">
        <v>1977.54</v>
      </c>
      <c r="K11" s="105">
        <v>0</v>
      </c>
      <c r="L11" s="105">
        <v>7609.0441100000007</v>
      </c>
      <c r="M11" s="105">
        <v>9544.9826900000007</v>
      </c>
      <c r="N11" s="105">
        <v>1977.54</v>
      </c>
      <c r="O11" s="105">
        <v>0</v>
      </c>
      <c r="EO11" s="137"/>
    </row>
    <row r="12" spans="1:145" s="73" customFormat="1" x14ac:dyDescent="0.25">
      <c r="A12" s="35" t="s">
        <v>136</v>
      </c>
      <c r="B12" s="56">
        <f>+'MANO DE OBRA'!C28</f>
        <v>6102</v>
      </c>
      <c r="D12" s="105">
        <v>3051</v>
      </c>
      <c r="E12" s="105">
        <v>3051</v>
      </c>
      <c r="F12" s="105">
        <v>0</v>
      </c>
      <c r="G12" s="105">
        <v>0</v>
      </c>
      <c r="H12" s="105">
        <v>3051</v>
      </c>
      <c r="I12" s="105">
        <v>3051</v>
      </c>
      <c r="J12" s="105">
        <v>0</v>
      </c>
      <c r="K12" s="105">
        <v>0</v>
      </c>
      <c r="L12" s="105">
        <v>3051</v>
      </c>
      <c r="M12" s="105">
        <v>3051</v>
      </c>
      <c r="N12" s="105">
        <v>0</v>
      </c>
      <c r="O12" s="105">
        <v>0</v>
      </c>
      <c r="EO12" s="137"/>
    </row>
    <row r="13" spans="1:145" s="73" customFormat="1" x14ac:dyDescent="0.25">
      <c r="A13" s="35" t="s">
        <v>137</v>
      </c>
      <c r="B13" s="56">
        <f>+LOGISTICA!B30</f>
        <v>2327.1</v>
      </c>
      <c r="D13" s="105">
        <v>1163.55</v>
      </c>
      <c r="E13" s="105">
        <v>1163.55</v>
      </c>
      <c r="F13" s="105">
        <v>0</v>
      </c>
      <c r="G13" s="105">
        <v>0</v>
      </c>
      <c r="H13" s="105">
        <v>1163.55</v>
      </c>
      <c r="I13" s="105">
        <v>1163.55</v>
      </c>
      <c r="J13" s="105">
        <v>0</v>
      </c>
      <c r="K13" s="105">
        <v>0</v>
      </c>
      <c r="L13" s="105">
        <v>1163.55</v>
      </c>
      <c r="M13" s="105">
        <v>1163.55</v>
      </c>
      <c r="N13" s="105">
        <v>0</v>
      </c>
      <c r="O13" s="105">
        <v>0</v>
      </c>
      <c r="EO13" s="137"/>
    </row>
    <row r="14" spans="1:145" s="67" customFormat="1" x14ac:dyDescent="0.25">
      <c r="A14" s="35" t="s">
        <v>200</v>
      </c>
      <c r="B14" s="56">
        <f>SUM(B11:B13)</f>
        <v>8429.1</v>
      </c>
      <c r="D14" s="171">
        <f t="shared" ref="D14:O14" si="1">SUM(D11:D13)</f>
        <v>11823.59411</v>
      </c>
      <c r="E14" s="171">
        <f t="shared" si="1"/>
        <v>13759.53269</v>
      </c>
      <c r="F14" s="171">
        <f t="shared" si="1"/>
        <v>1977.54</v>
      </c>
      <c r="G14" s="171">
        <f t="shared" si="1"/>
        <v>0</v>
      </c>
      <c r="H14" s="171">
        <f t="shared" si="1"/>
        <v>11823.59411</v>
      </c>
      <c r="I14" s="171">
        <f t="shared" si="1"/>
        <v>13759.53269</v>
      </c>
      <c r="J14" s="171">
        <f t="shared" si="1"/>
        <v>1977.54</v>
      </c>
      <c r="K14" s="171">
        <f t="shared" si="1"/>
        <v>0</v>
      </c>
      <c r="L14" s="171">
        <f t="shared" si="1"/>
        <v>11823.59411</v>
      </c>
      <c r="M14" s="171">
        <f t="shared" si="1"/>
        <v>13759.53269</v>
      </c>
      <c r="N14" s="171">
        <f t="shared" si="1"/>
        <v>1977.54</v>
      </c>
      <c r="O14" s="171">
        <f t="shared" si="1"/>
        <v>0</v>
      </c>
      <c r="EO14" s="137"/>
    </row>
    <row r="15" spans="1:145" s="67" customFormat="1" x14ac:dyDescent="0.25">
      <c r="A15" s="35" t="s">
        <v>201</v>
      </c>
      <c r="B15" s="105"/>
      <c r="C15" s="166">
        <v>0.1</v>
      </c>
      <c r="D15" s="105">
        <f>+$C$15*D11</f>
        <v>760.9044110000001</v>
      </c>
      <c r="E15" s="105">
        <f t="shared" ref="E15:F15" si="2">+$C$15*E11</f>
        <v>954.49826900000016</v>
      </c>
      <c r="F15" s="105">
        <f t="shared" si="2"/>
        <v>197.75400000000002</v>
      </c>
      <c r="G15" s="105">
        <f>+$C$15*G11</f>
        <v>0</v>
      </c>
      <c r="H15" s="105">
        <f>+$C$15*H11</f>
        <v>760.9044110000001</v>
      </c>
      <c r="I15" s="105">
        <f t="shared" ref="I15:J15" si="3">+$C$15*I11</f>
        <v>954.49826900000016</v>
      </c>
      <c r="J15" s="105">
        <f t="shared" si="3"/>
        <v>197.75400000000002</v>
      </c>
      <c r="K15" s="105">
        <f>+$C$15*K11</f>
        <v>0</v>
      </c>
      <c r="L15" s="105">
        <f>+$C$15*L11</f>
        <v>760.9044110000001</v>
      </c>
      <c r="M15" s="105">
        <f t="shared" ref="M15:N15" si="4">+$C$15*M11</f>
        <v>954.49826900000016</v>
      </c>
      <c r="N15" s="105">
        <f t="shared" si="4"/>
        <v>197.75400000000002</v>
      </c>
      <c r="O15" s="105">
        <f>+$C$15*O11</f>
        <v>0</v>
      </c>
      <c r="EO15" s="137"/>
    </row>
    <row r="16" spans="1:145" s="67" customFormat="1" x14ac:dyDescent="0.25">
      <c r="A16" s="35" t="s">
        <v>148</v>
      </c>
      <c r="B16" s="105"/>
      <c r="C16" s="168">
        <v>7.0000000000000007E-2</v>
      </c>
      <c r="D16" s="105">
        <f>(+D14+D15)*$C$16</f>
        <v>880.91489647000003</v>
      </c>
      <c r="E16" s="105">
        <f t="shared" ref="E16:F16" si="5">(+E14+E15)*$C$16</f>
        <v>1029.9821671300001</v>
      </c>
      <c r="F16" s="105">
        <f t="shared" si="5"/>
        <v>152.27058</v>
      </c>
      <c r="G16" s="105">
        <f>(+G14+G15)*0.07</f>
        <v>0</v>
      </c>
      <c r="H16" s="105">
        <f>(+H14+H15)*$C$16</f>
        <v>880.91489647000003</v>
      </c>
      <c r="I16" s="105">
        <f t="shared" ref="I16:J16" si="6">(+I14+I15)*$C$16</f>
        <v>1029.9821671300001</v>
      </c>
      <c r="J16" s="105">
        <f t="shared" si="6"/>
        <v>152.27058</v>
      </c>
      <c r="K16" s="105">
        <f>(+K14+K15)*0.07</f>
        <v>0</v>
      </c>
      <c r="L16" s="105">
        <f>(+L14+L15)*$C$16</f>
        <v>880.91489647000003</v>
      </c>
      <c r="M16" s="105">
        <f t="shared" ref="M16:N16" si="7">(+M14+M15)*$C$16</f>
        <v>1029.9821671300001</v>
      </c>
      <c r="N16" s="105">
        <f t="shared" si="7"/>
        <v>152.27058</v>
      </c>
      <c r="O16" s="105">
        <f>(+O14+O15)*0.07</f>
        <v>0</v>
      </c>
      <c r="EO16" s="137"/>
    </row>
    <row r="17" spans="1:145" s="67" customFormat="1" x14ac:dyDescent="0.25">
      <c r="A17" s="35" t="s">
        <v>89</v>
      </c>
      <c r="B17" s="105"/>
      <c r="C17" s="166">
        <v>0.12</v>
      </c>
      <c r="D17" s="105">
        <f>(+D14+D15)*$C$17</f>
        <v>1510.1398225199998</v>
      </c>
      <c r="E17" s="105">
        <f t="shared" ref="E17:F17" si="8">(+E14+E15)*$C$17</f>
        <v>1765.68371508</v>
      </c>
      <c r="F17" s="105">
        <f t="shared" si="8"/>
        <v>261.03528</v>
      </c>
      <c r="G17" s="105"/>
      <c r="H17" s="105">
        <f>(+H14+H15)*$C$17</f>
        <v>1510.1398225199998</v>
      </c>
      <c r="I17" s="105">
        <f t="shared" ref="I17:J17" si="9">(+I14+I15)*$C$17</f>
        <v>1765.68371508</v>
      </c>
      <c r="J17" s="105">
        <f t="shared" si="9"/>
        <v>261.03528</v>
      </c>
      <c r="K17" s="105"/>
      <c r="L17" s="105">
        <f>(+L14+L15)*$C$17</f>
        <v>1510.1398225199998</v>
      </c>
      <c r="M17" s="105">
        <f t="shared" ref="M17:N17" si="10">(+M14+M15)*$C$17</f>
        <v>1765.68371508</v>
      </c>
      <c r="N17" s="105">
        <f t="shared" si="10"/>
        <v>261.03528</v>
      </c>
      <c r="O17" s="105"/>
      <c r="EO17" s="137"/>
    </row>
    <row r="18" spans="1:145" s="67" customFormat="1" x14ac:dyDescent="0.25">
      <c r="A18" s="143" t="s">
        <v>181</v>
      </c>
      <c r="B18" s="141"/>
      <c r="D18" s="148">
        <f t="shared" ref="D18:O18" si="11">SUM(D14:D17)+D10</f>
        <v>24975.553239989997</v>
      </c>
      <c r="E18" s="148">
        <f t="shared" si="11"/>
        <v>17509.69684121</v>
      </c>
      <c r="F18" s="148">
        <f t="shared" si="11"/>
        <v>2588.5998599999998</v>
      </c>
      <c r="G18" s="148">
        <f t="shared" si="11"/>
        <v>0</v>
      </c>
      <c r="H18" s="148">
        <f t="shared" si="11"/>
        <v>24975.553239989997</v>
      </c>
      <c r="I18" s="148">
        <f t="shared" si="11"/>
        <v>17509.69684121</v>
      </c>
      <c r="J18" s="148">
        <f t="shared" si="11"/>
        <v>2588.5998599999998</v>
      </c>
      <c r="K18" s="148">
        <f t="shared" si="11"/>
        <v>0</v>
      </c>
      <c r="L18" s="148">
        <f t="shared" si="11"/>
        <v>24975.553239989997</v>
      </c>
      <c r="M18" s="148">
        <f t="shared" si="11"/>
        <v>17509.69684121</v>
      </c>
      <c r="N18" s="148">
        <f t="shared" si="11"/>
        <v>2588.5998599999998</v>
      </c>
      <c r="O18" s="148">
        <f t="shared" si="11"/>
        <v>0</v>
      </c>
      <c r="EO18" s="137"/>
    </row>
    <row r="19" spans="1:145" s="67" customFormat="1" x14ac:dyDescent="0.25">
      <c r="A19" s="143"/>
      <c r="B19" s="141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EO19" s="137"/>
    </row>
    <row r="20" spans="1:145" s="73" customFormat="1" ht="20.25" customHeight="1" x14ac:dyDescent="0.25">
      <c r="A20" s="140" t="s">
        <v>206</v>
      </c>
      <c r="B20" s="121"/>
      <c r="D20" s="130">
        <f t="shared" ref="D20:O20" si="12">+D7-D18</f>
        <v>-24975.553239989997</v>
      </c>
      <c r="E20" s="130">
        <f t="shared" si="12"/>
        <v>-17509.69684121</v>
      </c>
      <c r="F20" s="130">
        <f t="shared" si="12"/>
        <v>-2588.5998599999998</v>
      </c>
      <c r="G20" s="130">
        <f t="shared" si="12"/>
        <v>54400</v>
      </c>
      <c r="H20" s="130">
        <f t="shared" si="12"/>
        <v>-24975.553239989997</v>
      </c>
      <c r="I20" s="130">
        <f t="shared" si="12"/>
        <v>-17509.69684121</v>
      </c>
      <c r="J20" s="130">
        <f t="shared" si="12"/>
        <v>-2588.5998599999998</v>
      </c>
      <c r="K20" s="130">
        <f t="shared" si="12"/>
        <v>54400</v>
      </c>
      <c r="L20" s="130">
        <f t="shared" si="12"/>
        <v>-24975.553239989997</v>
      </c>
      <c r="M20" s="130">
        <f t="shared" si="12"/>
        <v>-17509.69684121</v>
      </c>
      <c r="N20" s="130">
        <f t="shared" si="12"/>
        <v>-2588.5998599999998</v>
      </c>
      <c r="O20" s="130">
        <f t="shared" si="12"/>
        <v>54400</v>
      </c>
    </row>
    <row r="21" spans="1:145" s="73" customFormat="1" ht="20.25" customHeight="1" x14ac:dyDescent="0.25">
      <c r="A21" s="140" t="s">
        <v>214</v>
      </c>
      <c r="B21" s="121"/>
      <c r="D21" s="130">
        <v>0</v>
      </c>
      <c r="E21" s="130">
        <v>0</v>
      </c>
      <c r="F21" s="130">
        <v>0</v>
      </c>
      <c r="G21" s="130">
        <v>3142.91</v>
      </c>
      <c r="H21" s="130">
        <v>0</v>
      </c>
      <c r="I21" s="130">
        <v>0</v>
      </c>
      <c r="J21" s="130">
        <v>0</v>
      </c>
      <c r="K21" s="130">
        <v>3142.91</v>
      </c>
      <c r="L21" s="130">
        <v>0</v>
      </c>
      <c r="M21" s="130">
        <v>0</v>
      </c>
      <c r="N21" s="130">
        <v>0</v>
      </c>
      <c r="O21" s="130">
        <v>3142.91</v>
      </c>
    </row>
    <row r="22" spans="1:145" s="73" customFormat="1" ht="20.25" customHeight="1" x14ac:dyDescent="0.25">
      <c r="A22" s="140" t="s">
        <v>208</v>
      </c>
      <c r="B22" s="121"/>
      <c r="C22" s="182"/>
      <c r="D22" s="183">
        <f>+D20-D21</f>
        <v>-24975.553239989997</v>
      </c>
      <c r="E22" s="183">
        <f t="shared" ref="E22:G22" si="13">+E20-E21</f>
        <v>-17509.69684121</v>
      </c>
      <c r="F22" s="183">
        <f t="shared" si="13"/>
        <v>-2588.5998599999998</v>
      </c>
      <c r="G22" s="183">
        <f t="shared" si="13"/>
        <v>51257.09</v>
      </c>
      <c r="H22" s="183">
        <f>+H20-H21</f>
        <v>-24975.553239989997</v>
      </c>
      <c r="I22" s="183">
        <f t="shared" ref="I22:K22" si="14">+I20-I21</f>
        <v>-17509.69684121</v>
      </c>
      <c r="J22" s="183">
        <f t="shared" si="14"/>
        <v>-2588.5998599999998</v>
      </c>
      <c r="K22" s="183">
        <f t="shared" si="14"/>
        <v>51257.09</v>
      </c>
      <c r="L22" s="183">
        <f>+L20-L21</f>
        <v>-24975.553239989997</v>
      </c>
      <c r="M22" s="183">
        <f t="shared" ref="M22:O22" si="15">+M20-M21</f>
        <v>-17509.69684121</v>
      </c>
      <c r="N22" s="183">
        <f t="shared" si="15"/>
        <v>-2588.5998599999998</v>
      </c>
      <c r="O22" s="183">
        <f t="shared" si="15"/>
        <v>51257.09</v>
      </c>
    </row>
    <row r="23" spans="1:145" x14ac:dyDescent="0.25">
      <c r="A23" s="140" t="s">
        <v>207</v>
      </c>
      <c r="B23" s="121"/>
      <c r="C23" s="184">
        <v>-45073.85</v>
      </c>
      <c r="D23" s="183">
        <f>-D22</f>
        <v>24975.553239989997</v>
      </c>
      <c r="E23" s="183">
        <f t="shared" ref="E23:F23" si="16">-E22</f>
        <v>17509.69684121</v>
      </c>
      <c r="F23" s="183">
        <f t="shared" si="16"/>
        <v>2588.5998599999998</v>
      </c>
      <c r="G23" s="183">
        <v>0</v>
      </c>
      <c r="H23" s="183">
        <f>-H22</f>
        <v>24975.553239989997</v>
      </c>
      <c r="I23" s="183">
        <f t="shared" ref="I23:J23" si="17">-I22</f>
        <v>17509.69684121</v>
      </c>
      <c r="J23" s="183">
        <f t="shared" si="17"/>
        <v>2588.5998599999998</v>
      </c>
      <c r="K23" s="183">
        <v>0</v>
      </c>
      <c r="L23" s="183">
        <f>-L22</f>
        <v>24975.553239989997</v>
      </c>
      <c r="M23" s="183">
        <f t="shared" ref="M23:N23" si="18">-M22</f>
        <v>17509.69684121</v>
      </c>
      <c r="N23" s="183">
        <f t="shared" si="18"/>
        <v>2588.5998599999998</v>
      </c>
      <c r="O23" s="183">
        <v>0</v>
      </c>
    </row>
    <row r="24" spans="1:145" ht="16.5" thickBot="1" x14ac:dyDescent="0.3">
      <c r="A24" s="150" t="s">
        <v>209</v>
      </c>
      <c r="B24" s="150"/>
      <c r="C24" s="151"/>
      <c r="D24" s="153">
        <f>+D22+D23</f>
        <v>0</v>
      </c>
      <c r="E24" s="153">
        <f t="shared" ref="E24:F24" si="19">+E22+E23</f>
        <v>0</v>
      </c>
      <c r="F24" s="153">
        <f t="shared" si="19"/>
        <v>0</v>
      </c>
      <c r="G24" s="153">
        <f>+G22+C23</f>
        <v>6183.239999999998</v>
      </c>
      <c r="H24" s="153">
        <f>+H22+H23</f>
        <v>0</v>
      </c>
      <c r="I24" s="153">
        <f t="shared" ref="I24:J24" si="20">+I22+I23</f>
        <v>0</v>
      </c>
      <c r="J24" s="153">
        <f t="shared" si="20"/>
        <v>0</v>
      </c>
      <c r="K24" s="153">
        <f>+K22+C23</f>
        <v>6183.239999999998</v>
      </c>
      <c r="L24" s="153">
        <f>+L22+L23</f>
        <v>0</v>
      </c>
      <c r="M24" s="153">
        <f t="shared" ref="M24:O24" si="21">+M22+M23</f>
        <v>0</v>
      </c>
      <c r="N24" s="153">
        <f t="shared" si="21"/>
        <v>0</v>
      </c>
      <c r="O24" s="153">
        <f t="shared" si="21"/>
        <v>51257.09</v>
      </c>
    </row>
    <row r="25" spans="1:145" x14ac:dyDescent="0.25">
      <c r="A25" s="2" t="s">
        <v>195</v>
      </c>
      <c r="C25" s="121"/>
      <c r="D25" s="121"/>
      <c r="E25" s="36"/>
      <c r="F25" s="36"/>
      <c r="G25" s="36"/>
      <c r="H25" s="3"/>
      <c r="J25" s="104"/>
      <c r="K25" s="101"/>
    </row>
    <row r="26" spans="1:145" x14ac:dyDescent="0.25">
      <c r="A26" s="140"/>
      <c r="B26" s="140"/>
      <c r="C26" s="121"/>
      <c r="D26" s="121"/>
      <c r="E26" s="36"/>
      <c r="F26" s="36"/>
      <c r="G26" s="36"/>
      <c r="H26" s="3"/>
      <c r="J26" s="104"/>
    </row>
    <row r="27" spans="1:145" x14ac:dyDescent="0.25">
      <c r="A27" s="140"/>
      <c r="B27" s="140"/>
      <c r="C27" s="121"/>
      <c r="D27" s="121"/>
      <c r="E27" s="36"/>
      <c r="F27" s="36"/>
      <c r="G27" s="36"/>
      <c r="H27" s="3"/>
      <c r="J27" s="104"/>
    </row>
    <row r="28" spans="1:145" x14ac:dyDescent="0.25">
      <c r="A28" s="3"/>
      <c r="B28" s="3"/>
      <c r="C28" s="3"/>
      <c r="D28" s="3"/>
      <c r="E28" s="140" t="s">
        <v>203</v>
      </c>
      <c r="F28" s="3"/>
      <c r="G28" s="3"/>
      <c r="H28" s="3"/>
      <c r="J28" s="3"/>
    </row>
    <row r="29" spans="1:145" ht="16.5" thickBot="1" x14ac:dyDescent="0.3">
      <c r="A29" s="150"/>
      <c r="B29" s="150"/>
      <c r="C29" s="151"/>
      <c r="D29" s="151"/>
      <c r="E29" s="152"/>
      <c r="F29" s="152"/>
      <c r="G29" s="152"/>
      <c r="H29" s="5"/>
      <c r="I29" s="5"/>
      <c r="J29" s="5"/>
      <c r="K29" s="5"/>
      <c r="L29" s="5"/>
      <c r="M29" s="5"/>
      <c r="N29" s="5"/>
      <c r="O29" s="5"/>
    </row>
    <row r="30" spans="1:145" s="15" customFormat="1" ht="16.5" thickBot="1" x14ac:dyDescent="0.3">
      <c r="A30" s="170"/>
      <c r="B30" s="170"/>
      <c r="C30" s="169" t="s">
        <v>202</v>
      </c>
      <c r="D30" s="180" t="s">
        <v>184</v>
      </c>
      <c r="E30" s="180" t="s">
        <v>185</v>
      </c>
      <c r="F30" s="180" t="s">
        <v>186</v>
      </c>
      <c r="G30" s="180" t="s">
        <v>187</v>
      </c>
      <c r="H30" s="180" t="s">
        <v>190</v>
      </c>
      <c r="I30" s="180" t="s">
        <v>215</v>
      </c>
      <c r="J30" s="180" t="s">
        <v>216</v>
      </c>
      <c r="K30" s="180" t="s">
        <v>217</v>
      </c>
      <c r="L30" s="180" t="s">
        <v>218</v>
      </c>
      <c r="M30" s="180" t="s">
        <v>219</v>
      </c>
      <c r="N30" s="180" t="s">
        <v>220</v>
      </c>
      <c r="O30" s="180" t="s">
        <v>221</v>
      </c>
    </row>
    <row r="31" spans="1:145" x14ac:dyDescent="0.25">
      <c r="A31" s="140" t="s">
        <v>204</v>
      </c>
      <c r="B31" s="140"/>
      <c r="C31" s="130">
        <f>+C23</f>
        <v>-45073.85</v>
      </c>
      <c r="D31" s="130">
        <v>0</v>
      </c>
      <c r="E31" s="97">
        <v>0</v>
      </c>
      <c r="F31" s="97">
        <v>0</v>
      </c>
      <c r="G31" s="97">
        <f>+G24</f>
        <v>6183.239999999998</v>
      </c>
      <c r="H31" s="97">
        <f t="shared" ref="H31:O31" si="22">+H24</f>
        <v>0</v>
      </c>
      <c r="I31" s="97">
        <f t="shared" si="22"/>
        <v>0</v>
      </c>
      <c r="J31" s="97">
        <f t="shared" si="22"/>
        <v>0</v>
      </c>
      <c r="K31" s="97">
        <f t="shared" si="22"/>
        <v>6183.239999999998</v>
      </c>
      <c r="L31" s="97">
        <f t="shared" si="22"/>
        <v>0</v>
      </c>
      <c r="M31" s="97">
        <f t="shared" si="22"/>
        <v>0</v>
      </c>
      <c r="N31" s="97">
        <f t="shared" si="22"/>
        <v>0</v>
      </c>
      <c r="O31" s="97">
        <f t="shared" si="22"/>
        <v>51257.09</v>
      </c>
    </row>
    <row r="32" spans="1:145" x14ac:dyDescent="0.25">
      <c r="A32" s="3" t="s">
        <v>188</v>
      </c>
      <c r="B32" s="3"/>
      <c r="C32" s="146">
        <f>IRR(C31:O31)</f>
        <v>3.265992360183323E-2</v>
      </c>
      <c r="D32" s="3"/>
      <c r="E32" s="3"/>
      <c r="F32" s="3"/>
      <c r="G32" s="36"/>
      <c r="H32" s="3"/>
    </row>
    <row r="33" spans="1:15" ht="13.9" customHeight="1" x14ac:dyDescent="0.25">
      <c r="A33" s="3" t="s">
        <v>189</v>
      </c>
      <c r="B33" s="3"/>
      <c r="C33" s="47">
        <f>+C32*12</f>
        <v>0.39191908322199875</v>
      </c>
      <c r="D33" s="3"/>
      <c r="E33" s="3"/>
      <c r="F33" s="3"/>
      <c r="G33" s="121"/>
      <c r="H33" s="3"/>
      <c r="J33" s="104"/>
    </row>
    <row r="34" spans="1:15" ht="13.9" customHeight="1" x14ac:dyDescent="0.25">
      <c r="A34" s="3" t="s">
        <v>222</v>
      </c>
      <c r="B34" s="3"/>
      <c r="C34" s="188">
        <f>NPV(0.1/12,D31:O31)+C31</f>
        <v>13092.122719452418</v>
      </c>
      <c r="D34" s="3"/>
      <c r="E34" s="3"/>
      <c r="F34" s="3"/>
      <c r="G34" s="121"/>
      <c r="H34" s="3"/>
      <c r="J34" s="104"/>
    </row>
    <row r="35" spans="1:15" ht="16.5" thickBot="1" x14ac:dyDescent="0.3">
      <c r="A35" s="5" t="s">
        <v>223</v>
      </c>
      <c r="B35" s="5"/>
      <c r="C35" s="154">
        <f>NPV(0.391919/12,D31:O31)+C31</f>
        <v>3.2119238239829428E-3</v>
      </c>
      <c r="D35" s="5"/>
      <c r="E35" s="5"/>
      <c r="F35" s="5"/>
      <c r="G35" s="5"/>
      <c r="H35" s="5"/>
      <c r="I35" s="5"/>
      <c r="J35" s="187"/>
      <c r="K35" s="5"/>
      <c r="L35" s="5"/>
      <c r="M35" s="5"/>
      <c r="N35" s="5"/>
      <c r="O35" s="5"/>
    </row>
    <row r="36" spans="1:15" x14ac:dyDescent="0.25">
      <c r="A36" s="2" t="s">
        <v>195</v>
      </c>
      <c r="C36" s="3"/>
      <c r="D36" s="3"/>
      <c r="E36" s="3"/>
      <c r="F36" s="3"/>
      <c r="G36" s="3"/>
      <c r="H36" s="3"/>
      <c r="J36" s="104"/>
    </row>
    <row r="37" spans="1:15" x14ac:dyDescent="0.25">
      <c r="J37" s="104"/>
    </row>
    <row r="38" spans="1:15" x14ac:dyDescent="0.25">
      <c r="C38" s="138"/>
      <c r="J38" s="104"/>
    </row>
    <row r="46" spans="1:15" x14ac:dyDescent="0.25">
      <c r="J46" s="129"/>
    </row>
    <row r="59" spans="6:10" x14ac:dyDescent="0.25">
      <c r="F59" s="129"/>
    </row>
    <row r="60" spans="6:10" x14ac:dyDescent="0.25">
      <c r="F60" s="129"/>
    </row>
    <row r="61" spans="6:10" x14ac:dyDescent="0.25">
      <c r="F61" s="129"/>
    </row>
    <row r="62" spans="6:10" x14ac:dyDescent="0.25">
      <c r="F62" s="129"/>
    </row>
    <row r="63" spans="6:10" x14ac:dyDescent="0.25">
      <c r="F63" s="129"/>
    </row>
    <row r="64" spans="6:10" x14ac:dyDescent="0.25">
      <c r="J64" s="129"/>
    </row>
    <row r="65" spans="10:10" x14ac:dyDescent="0.25">
      <c r="J65" s="129"/>
    </row>
    <row r="66" spans="10:10" x14ac:dyDescent="0.25">
      <c r="J66" s="129"/>
    </row>
    <row r="67" spans="10:10" x14ac:dyDescent="0.25">
      <c r="J67" s="129"/>
    </row>
    <row r="68" spans="10:10" x14ac:dyDescent="0.25">
      <c r="J68" s="12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MANO DE OBRA</vt:lpstr>
      <vt:lpstr>LOGISTICA</vt:lpstr>
      <vt:lpstr>DETALLE RUBROS CONSTRUCTIVOS</vt:lpstr>
      <vt:lpstr>Cronograma Val. BOONKER</vt:lpstr>
      <vt:lpstr>Cronograma Val. TRADICIONAL</vt:lpstr>
      <vt:lpstr>FLUJO DE CAJA BOONKER REVISADO</vt:lpstr>
      <vt:lpstr>FC BOONKER EXTRA</vt:lpstr>
      <vt:lpstr>Flujo de caja sistema Boonker </vt:lpstr>
      <vt:lpstr>F caja sistema Boonk (año)</vt:lpstr>
      <vt:lpstr>FLUJO DE CAJA TRANDICIONAL REVI</vt:lpstr>
      <vt:lpstr>Flujo de caja sist tradicional</vt:lpstr>
      <vt:lpstr>COSTO OBRA GRIS</vt:lpstr>
      <vt:lpstr>COSTOS DIRECTOS</vt:lpstr>
      <vt:lpstr>F caja sist tradicional (año)</vt:lpstr>
      <vt:lpstr>PRESUPUESTO GENERAL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MARTIN JURADO FIALLO</dc:creator>
  <cp:lastModifiedBy>PEDRO MARTIN JURADO FIALLO</cp:lastModifiedBy>
  <dcterms:created xsi:type="dcterms:W3CDTF">2016-01-26T20:49:40Z</dcterms:created>
  <dcterms:modified xsi:type="dcterms:W3CDTF">2016-05-20T21:15:48Z</dcterms:modified>
</cp:coreProperties>
</file>