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9810" windowHeight="7410"/>
  </bookViews>
  <sheets>
    <sheet name="INVERSION" sheetId="1" r:id="rId1"/>
    <sheet name="GASTOS ADMINISTRATIVOS Y OPERAT" sheetId="2" r:id="rId2"/>
    <sheet name="PRESUP. INGRESOS" sheetId="3" r:id="rId3"/>
    <sheet name="DEPRECIACIÓN" sheetId="5" r:id="rId4"/>
    <sheet name="FLUJO DE EFECTIVO" sheetId="4" r:id="rId5"/>
    <sheet name="Hoja1" sheetId="6" r:id="rId6"/>
  </sheets>
  <calcPr calcId="125725"/>
</workbook>
</file>

<file path=xl/calcChain.xml><?xml version="1.0" encoding="utf-8"?>
<calcChain xmlns="http://schemas.openxmlformats.org/spreadsheetml/2006/main">
  <c r="F9" i="1"/>
  <c r="C69"/>
  <c r="D7" i="2"/>
  <c r="C18"/>
  <c r="C52" i="1"/>
  <c r="C46"/>
  <c r="C50"/>
  <c r="C38"/>
  <c r="C44"/>
  <c r="C4" i="6"/>
  <c r="F61" i="1"/>
  <c r="D33" i="3"/>
  <c r="D9" i="4"/>
  <c r="D14" s="1"/>
  <c r="C16" i="2"/>
  <c r="I16"/>
  <c r="D49"/>
  <c r="E49" s="1"/>
  <c r="F49" s="1"/>
  <c r="G49" s="1"/>
  <c r="H49" s="1"/>
  <c r="C19" i="3"/>
  <c r="C15"/>
  <c r="E13"/>
  <c r="E12"/>
  <c r="E11"/>
  <c r="E10"/>
  <c r="E9"/>
  <c r="E8"/>
  <c r="E7"/>
  <c r="E6"/>
  <c r="E5"/>
  <c r="D5"/>
  <c r="D15" s="1"/>
  <c r="G9" i="5"/>
  <c r="G8"/>
  <c r="G7"/>
  <c r="D43" i="4"/>
  <c r="C42" i="1"/>
  <c r="F5" i="3"/>
  <c r="E9" i="4" l="1"/>
  <c r="F9" s="1"/>
  <c r="G9" s="1"/>
  <c r="H9" s="1"/>
  <c r="H14" s="1"/>
  <c r="E15" i="3"/>
  <c r="C24" s="1"/>
  <c r="D24" s="1"/>
  <c r="E24" s="1"/>
  <c r="C45" i="2"/>
  <c r="C51" s="1"/>
  <c r="G14" i="4" l="1"/>
  <c r="F14"/>
  <c r="E14"/>
  <c r="F14" i="2"/>
  <c r="F8"/>
  <c r="F9"/>
  <c r="F10"/>
  <c r="F11"/>
  <c r="F12"/>
  <c r="F13"/>
  <c r="F7"/>
  <c r="E8"/>
  <c r="E9"/>
  <c r="E10"/>
  <c r="E11"/>
  <c r="E12"/>
  <c r="E13"/>
  <c r="E14"/>
  <c r="E7"/>
  <c r="D8"/>
  <c r="G8" s="1"/>
  <c r="H8" s="1"/>
  <c r="J8" s="1"/>
  <c r="C28" s="1"/>
  <c r="D28" s="1"/>
  <c r="E28" s="1"/>
  <c r="F28" s="1"/>
  <c r="G28" s="1"/>
  <c r="D9"/>
  <c r="D10"/>
  <c r="D11"/>
  <c r="D12"/>
  <c r="G12" s="1"/>
  <c r="H12" s="1"/>
  <c r="J12" s="1"/>
  <c r="C32" s="1"/>
  <c r="D32" s="1"/>
  <c r="E32" s="1"/>
  <c r="F32" s="1"/>
  <c r="G32" s="1"/>
  <c r="D13"/>
  <c r="D14"/>
  <c r="G7"/>
  <c r="F24" i="3"/>
  <c r="G24" s="1"/>
  <c r="G5"/>
  <c r="D43" i="2"/>
  <c r="E43" s="1"/>
  <c r="F43" s="1"/>
  <c r="G43" s="1"/>
  <c r="H43" s="1"/>
  <c r="D44"/>
  <c r="E44" s="1"/>
  <c r="F44" s="1"/>
  <c r="G44" s="1"/>
  <c r="H44" s="1"/>
  <c r="D46"/>
  <c r="E46" s="1"/>
  <c r="F46" s="1"/>
  <c r="G46" s="1"/>
  <c r="H46" s="1"/>
  <c r="D47"/>
  <c r="E47" s="1"/>
  <c r="F47" s="1"/>
  <c r="G47" s="1"/>
  <c r="H47" s="1"/>
  <c r="D48"/>
  <c r="E48" s="1"/>
  <c r="F48" s="1"/>
  <c r="G48" s="1"/>
  <c r="H48" s="1"/>
  <c r="D42"/>
  <c r="E42" s="1"/>
  <c r="F42" s="1"/>
  <c r="G42" s="1"/>
  <c r="H42" s="1"/>
  <c r="G6" i="3"/>
  <c r="H6" s="1"/>
  <c r="G7"/>
  <c r="H7" s="1"/>
  <c r="G8"/>
  <c r="H8" s="1"/>
  <c r="G9"/>
  <c r="H9" s="1"/>
  <c r="G10"/>
  <c r="H10" s="1"/>
  <c r="G11"/>
  <c r="H11" s="1"/>
  <c r="G12"/>
  <c r="H12" s="1"/>
  <c r="G13"/>
  <c r="H13" s="1"/>
  <c r="D27" i="1"/>
  <c r="C8" i="5" s="1"/>
  <c r="D8" s="1"/>
  <c r="F14" i="1"/>
  <c r="D9"/>
  <c r="D10"/>
  <c r="F10" s="1"/>
  <c r="F11"/>
  <c r="F12"/>
  <c r="F13"/>
  <c r="F18"/>
  <c r="F17"/>
  <c r="D28"/>
  <c r="C9" i="5" s="1"/>
  <c r="D9" s="1"/>
  <c r="D26" i="1"/>
  <c r="C7" i="5" s="1"/>
  <c r="D15" i="1" l="1"/>
  <c r="F15" s="1"/>
  <c r="D7" i="5"/>
  <c r="E7" s="1"/>
  <c r="H7" s="1"/>
  <c r="G15" i="3"/>
  <c r="H15" s="1"/>
  <c r="C25" s="1"/>
  <c r="D25" s="1"/>
  <c r="E8" i="4" s="1"/>
  <c r="G10" i="2"/>
  <c r="H10" s="1"/>
  <c r="J10" s="1"/>
  <c r="C30" s="1"/>
  <c r="D30" s="1"/>
  <c r="E30" s="1"/>
  <c r="F30" s="1"/>
  <c r="G30" s="1"/>
  <c r="G13"/>
  <c r="H13" s="1"/>
  <c r="J13" s="1"/>
  <c r="C33" s="1"/>
  <c r="D33" s="1"/>
  <c r="E33" s="1"/>
  <c r="F33" s="1"/>
  <c r="G33" s="1"/>
  <c r="G9"/>
  <c r="H9" s="1"/>
  <c r="J9" s="1"/>
  <c r="C29" s="1"/>
  <c r="D29" s="1"/>
  <c r="E29" s="1"/>
  <c r="F29" s="1"/>
  <c r="G29" s="1"/>
  <c r="H7"/>
  <c r="J7" s="1"/>
  <c r="G14"/>
  <c r="H14" s="1"/>
  <c r="J14" s="1"/>
  <c r="C34" s="1"/>
  <c r="D34" s="1"/>
  <c r="E34" s="1"/>
  <c r="F34" s="1"/>
  <c r="G34" s="1"/>
  <c r="G11"/>
  <c r="H11" s="1"/>
  <c r="J11" s="1"/>
  <c r="C31" s="1"/>
  <c r="D31" s="1"/>
  <c r="E31" s="1"/>
  <c r="F31" s="1"/>
  <c r="G31" s="1"/>
  <c r="H47" i="4"/>
  <c r="E8" i="5"/>
  <c r="H8" s="1"/>
  <c r="I8" s="1"/>
  <c r="J8" s="1"/>
  <c r="K8" s="1"/>
  <c r="L8" s="1"/>
  <c r="E9"/>
  <c r="H9" s="1"/>
  <c r="I9" s="1"/>
  <c r="J9" s="1"/>
  <c r="K9" s="1"/>
  <c r="L9" s="1"/>
  <c r="C11"/>
  <c r="F19" i="1"/>
  <c r="C43" i="4" s="1"/>
  <c r="F30" i="1"/>
  <c r="C44" i="4" s="1"/>
  <c r="F16" i="2"/>
  <c r="H5" i="3"/>
  <c r="D45" i="2"/>
  <c r="E45" s="1"/>
  <c r="F45" s="1"/>
  <c r="G45" s="1"/>
  <c r="H45" s="1"/>
  <c r="C50" i="4" l="1"/>
  <c r="C51" s="1"/>
  <c r="G16" i="2"/>
  <c r="H16"/>
  <c r="D51"/>
  <c r="D21" i="4" s="1"/>
  <c r="E51" i="2"/>
  <c r="E21" i="4" s="1"/>
  <c r="E10"/>
  <c r="E13"/>
  <c r="E15" s="1"/>
  <c r="H11" i="5"/>
  <c r="D29" i="4" s="1"/>
  <c r="C54" i="1"/>
  <c r="C60"/>
  <c r="C63" s="1"/>
  <c r="C71" s="1"/>
  <c r="F32"/>
  <c r="C26" i="3"/>
  <c r="D26" s="1"/>
  <c r="D8" i="4"/>
  <c r="D13" s="1"/>
  <c r="D15" s="1"/>
  <c r="E25" i="3"/>
  <c r="F8" i="4" s="1"/>
  <c r="C27" i="3" l="1"/>
  <c r="J16" i="2"/>
  <c r="C36" s="1"/>
  <c r="D36" s="1"/>
  <c r="E36" s="1"/>
  <c r="F36" s="1"/>
  <c r="G36" s="1"/>
  <c r="C27"/>
  <c r="D27" s="1"/>
  <c r="E27" s="1"/>
  <c r="F27" s="1"/>
  <c r="G27" s="1"/>
  <c r="F51"/>
  <c r="F21" i="4" s="1"/>
  <c r="E17"/>
  <c r="F10"/>
  <c r="F13"/>
  <c r="F15" s="1"/>
  <c r="I7" i="5"/>
  <c r="J7" s="1"/>
  <c r="D10" i="4"/>
  <c r="D17" s="1"/>
  <c r="C68" i="1"/>
  <c r="F25" i="3"/>
  <c r="G8" i="4" s="1"/>
  <c r="E26" i="3"/>
  <c r="D27"/>
  <c r="D19" i="4" l="1"/>
  <c r="E19"/>
  <c r="H51" i="2"/>
  <c r="H21" i="4" s="1"/>
  <c r="G51" i="2"/>
  <c r="G21" i="4" s="1"/>
  <c r="I11" i="5"/>
  <c r="E29" i="4" s="1"/>
  <c r="F17"/>
  <c r="G10"/>
  <c r="G13"/>
  <c r="G15" s="1"/>
  <c r="K7" i="5"/>
  <c r="J11"/>
  <c r="F29" i="4" s="1"/>
  <c r="E71" i="1"/>
  <c r="D71"/>
  <c r="F71"/>
  <c r="G71"/>
  <c r="D24" i="4"/>
  <c r="G25" i="3"/>
  <c r="H8" i="4" s="1"/>
  <c r="F26" i="3"/>
  <c r="E27"/>
  <c r="F19" i="4" l="1"/>
  <c r="D25"/>
  <c r="D23" s="1"/>
  <c r="G17"/>
  <c r="H10"/>
  <c r="H13"/>
  <c r="H15" s="1"/>
  <c r="L7" i="5"/>
  <c r="L11" s="1"/>
  <c r="H29" i="4" s="1"/>
  <c r="K11" i="5"/>
  <c r="G29" i="4" s="1"/>
  <c r="C70" i="1"/>
  <c r="C72" s="1"/>
  <c r="D68" s="1"/>
  <c r="D69" s="1"/>
  <c r="G26" i="3"/>
  <c r="G27" s="1"/>
  <c r="F27"/>
  <c r="D27" i="4" l="1"/>
  <c r="D31" s="1"/>
  <c r="D33" s="1"/>
  <c r="D35" s="1"/>
  <c r="H19"/>
  <c r="G19"/>
  <c r="H17"/>
  <c r="D37" l="1"/>
  <c r="D39" s="1"/>
  <c r="D50" s="1"/>
  <c r="E25"/>
  <c r="E24"/>
  <c r="D70" i="1"/>
  <c r="D72" s="1"/>
  <c r="E68" s="1"/>
  <c r="E69" s="1"/>
  <c r="E23" i="4" l="1"/>
  <c r="E27" s="1"/>
  <c r="E31" s="1"/>
  <c r="E33" s="1"/>
  <c r="E35" s="1"/>
  <c r="E37" s="1"/>
  <c r="E39" s="1"/>
  <c r="E50" s="1"/>
  <c r="E70" i="1"/>
  <c r="E72" s="1"/>
  <c r="F68" s="1"/>
  <c r="F69" s="1"/>
  <c r="G25" i="4" l="1"/>
  <c r="G24"/>
  <c r="F25"/>
  <c r="F24"/>
  <c r="F70" i="1"/>
  <c r="F72" s="1"/>
  <c r="G68" s="1"/>
  <c r="G69" s="1"/>
  <c r="G23" i="4" l="1"/>
  <c r="G27" s="1"/>
  <c r="G31" s="1"/>
  <c r="G33" s="1"/>
  <c r="G35" s="1"/>
  <c r="G37" s="1"/>
  <c r="G39" s="1"/>
  <c r="G50" s="1"/>
  <c r="H25"/>
  <c r="H24"/>
  <c r="F23"/>
  <c r="F27" s="1"/>
  <c r="F31" s="1"/>
  <c r="F33" s="1"/>
  <c r="F35" s="1"/>
  <c r="F37" s="1"/>
  <c r="F39" s="1"/>
  <c r="F50" s="1"/>
  <c r="G70" i="1"/>
  <c r="G72" s="1"/>
  <c r="H23" i="4" l="1"/>
  <c r="H27" s="1"/>
  <c r="H31" s="1"/>
  <c r="H33" s="1"/>
  <c r="H35" s="1"/>
  <c r="H37" s="1"/>
  <c r="H39" s="1"/>
  <c r="H50" s="1"/>
  <c r="H51" s="1"/>
  <c r="E51"/>
  <c r="F51"/>
  <c r="G51"/>
  <c r="D51"/>
  <c r="C56" l="1"/>
  <c r="C54"/>
</calcChain>
</file>

<file path=xl/sharedStrings.xml><?xml version="1.0" encoding="utf-8"?>
<sst xmlns="http://schemas.openxmlformats.org/spreadsheetml/2006/main" count="211" uniqueCount="167">
  <si>
    <t>Terreno</t>
  </si>
  <si>
    <t>Estacion enfermería</t>
  </si>
  <si>
    <t>Area de limpieza y desinfección</t>
  </si>
  <si>
    <t>Parqueaderos</t>
  </si>
  <si>
    <t>AREA</t>
  </si>
  <si>
    <t>DETALLE</t>
  </si>
  <si>
    <t>COSTO UNITARIO</t>
  </si>
  <si>
    <t>COSTO TOTAL</t>
  </si>
  <si>
    <t>Equipos médicos por quirófano</t>
  </si>
  <si>
    <t>Consultorios</t>
  </si>
  <si>
    <t>Quirófanos</t>
  </si>
  <si>
    <t>UBICACIÓN:</t>
  </si>
  <si>
    <t>COSTO M²:</t>
  </si>
  <si>
    <t>M² CONSTRUCCIÓN</t>
  </si>
  <si>
    <t>INVERSION HOSPITAL DEL DIA</t>
  </si>
  <si>
    <t>500 m²</t>
  </si>
  <si>
    <t>COSTO TOTAL CONSTRUCCION:</t>
  </si>
  <si>
    <t>5  (40 m² c/u)</t>
  </si>
  <si>
    <t>2 (40 m² c/u)</t>
  </si>
  <si>
    <t>1 (30 m² c/u)</t>
  </si>
  <si>
    <t>COSTO TOTAL HOSPITAL DEL DIA:</t>
  </si>
  <si>
    <t>Habitaciones de recuperación</t>
  </si>
  <si>
    <t>8 (40 m² c/u)</t>
  </si>
  <si>
    <t>3 (35 m² c/u)</t>
  </si>
  <si>
    <t>Salas de espera y areas comunales</t>
  </si>
  <si>
    <t>INVERSION CONSTRUCCION:</t>
  </si>
  <si>
    <t>Mobiliaria</t>
  </si>
  <si>
    <t>1015 m²</t>
  </si>
  <si>
    <t>Total instalaciones:</t>
  </si>
  <si>
    <t>INVERSIÓN EQUIPOS Y MOBILIARIA:</t>
  </si>
  <si>
    <t>280 m²</t>
  </si>
  <si>
    <t>Equipos médicos por consultorio</t>
  </si>
  <si>
    <t>DISTRITO METROPOLITANO DE QUITO</t>
  </si>
  <si>
    <t># Personas</t>
  </si>
  <si>
    <t>Seguridad</t>
  </si>
  <si>
    <t>Enfermeras</t>
  </si>
  <si>
    <t>Jefe operaciones</t>
  </si>
  <si>
    <t>Servicio al cliente</t>
  </si>
  <si>
    <t>Mantenimiento</t>
  </si>
  <si>
    <t>Servicios publicos</t>
  </si>
  <si>
    <t>Imprevistos</t>
  </si>
  <si>
    <t>Seguros</t>
  </si>
  <si>
    <t>Gastos Promocion</t>
  </si>
  <si>
    <t>PROCEDIMIENTOS PRINCIPALES</t>
  </si>
  <si>
    <t>FRECUENCIA ESTIMADA MES</t>
  </si>
  <si>
    <t>PRECIO ESTIMADO</t>
  </si>
  <si>
    <t>TOTAL ANUAL</t>
  </si>
  <si>
    <t>TRAUMATOLOGIA</t>
  </si>
  <si>
    <t>GINECOLOGIA</t>
  </si>
  <si>
    <t>OFTALMOLOGIA</t>
  </si>
  <si>
    <t>DERMATOLOGIA</t>
  </si>
  <si>
    <t>CIRUGIA ESTETICA</t>
  </si>
  <si>
    <t>CIRUGIA GENERAL</t>
  </si>
  <si>
    <t>UROLOGIA</t>
  </si>
  <si>
    <t>OTORINOLARINGOLOGIA</t>
  </si>
  <si>
    <t>GASTROENTEROLOGIA</t>
  </si>
  <si>
    <t>TOTAL MES</t>
  </si>
  <si>
    <t>INGRESOS POR SERVICIOS</t>
  </si>
  <si>
    <t>PAGO ESPECIALISTAS</t>
  </si>
  <si>
    <t># procedimientos</t>
  </si>
  <si>
    <t>GASTOS FINANCIEROS</t>
  </si>
  <si>
    <t>Cargo</t>
  </si>
  <si>
    <t>Salario</t>
  </si>
  <si>
    <t>Director Médico</t>
  </si>
  <si>
    <t>Auxiliares</t>
  </si>
  <si>
    <t>Asistentes Administrativos</t>
  </si>
  <si>
    <t>Total:</t>
  </si>
  <si>
    <t>Mensual</t>
  </si>
  <si>
    <t>Materiales de aseo y limpieza</t>
  </si>
  <si>
    <t>Materiales de oficina</t>
  </si>
  <si>
    <t>Gastos legales (Permisos funcionamiento)</t>
  </si>
  <si>
    <t>GASTOS ADMINISTRATIVOS</t>
  </si>
  <si>
    <t>COSTOS DIRECTOS MEDICOS</t>
  </si>
  <si>
    <t>PRESUPUESTO DE VENTAS</t>
  </si>
  <si>
    <t>INGRESOS BRUTO</t>
  </si>
  <si>
    <t>Año 1</t>
  </si>
  <si>
    <t>Año 2</t>
  </si>
  <si>
    <t>Año 3</t>
  </si>
  <si>
    <t>Año 4</t>
  </si>
  <si>
    <t>Año 5</t>
  </si>
  <si>
    <t>Crecimiento estimado 2 año:</t>
  </si>
  <si>
    <t>Crecimiento estimado desde 3 año:</t>
  </si>
  <si>
    <t>TOTAL</t>
  </si>
  <si>
    <t>Décimo Tercer Sueldo</t>
  </si>
  <si>
    <t>Decimo cuarto sueldo</t>
  </si>
  <si>
    <t>Décimo tercer sueldo</t>
  </si>
  <si>
    <t>Del salario mínimo</t>
  </si>
  <si>
    <t>IESS</t>
  </si>
  <si>
    <t>Décimo Cuarto Sueldo</t>
  </si>
  <si>
    <t>Gasto Mensual:</t>
  </si>
  <si>
    <t>Costo Total Anual</t>
  </si>
  <si>
    <t>FLUJO DE EFECTIVO PROYECTO HOSPITAL DEL DÍA</t>
  </si>
  <si>
    <t>FINANCIAMIENTO HOSPITAL DEL DIA</t>
  </si>
  <si>
    <t>MONTO TOTAL:</t>
  </si>
  <si>
    <t>VENTA CONSULTORIOS:</t>
  </si>
  <si>
    <t>Precio de Venta:</t>
  </si>
  <si>
    <t>Número de Consultorios:</t>
  </si>
  <si>
    <t>Ingreso Ventas Consultorios</t>
  </si>
  <si>
    <t>Precio por m²:</t>
  </si>
  <si>
    <t>% Financiamiento:</t>
  </si>
  <si>
    <t>INVERSION CAPITAL PRIVADO</t>
  </si>
  <si>
    <t>PRESTAMO BANCARIO</t>
  </si>
  <si>
    <t>AÑOS</t>
  </si>
  <si>
    <t>INGRESOS</t>
  </si>
  <si>
    <t>INGRESOS BRUTOS</t>
  </si>
  <si>
    <t>GASTOS OPERATIVOS</t>
  </si>
  <si>
    <t>CUADRO DE INTERESES</t>
  </si>
  <si>
    <t>Deuda</t>
  </si>
  <si>
    <t>Plazo</t>
  </si>
  <si>
    <t>Tasa Pymes Banco Central Ecuador</t>
  </si>
  <si>
    <t>años</t>
  </si>
  <si>
    <t>Cuota Anual</t>
  </si>
  <si>
    <t>Deuda inicial</t>
  </si>
  <si>
    <t>Intereses</t>
  </si>
  <si>
    <t>Deuda total</t>
  </si>
  <si>
    <t xml:space="preserve">Pago  </t>
  </si>
  <si>
    <t>Deuda fin periodo</t>
  </si>
  <si>
    <t>Inflación:</t>
  </si>
  <si>
    <t>GASTOS ADMINISTRATIVOS 5 AÑOS</t>
  </si>
  <si>
    <t>UAIT</t>
  </si>
  <si>
    <t>DEPRECIACION</t>
  </si>
  <si>
    <t>CUADRO DE DEPRECIACIÓN DE ACTIVOS</t>
  </si>
  <si>
    <t>Activos</t>
  </si>
  <si>
    <t xml:space="preserve">Valor </t>
  </si>
  <si>
    <t>% Depreciación Anual</t>
  </si>
  <si>
    <t>Años</t>
  </si>
  <si>
    <t>INGRESOS OPERATIVOS</t>
  </si>
  <si>
    <t>Impuesto trabajadores (15%)</t>
  </si>
  <si>
    <t>UAI</t>
  </si>
  <si>
    <t>Impuesto a la Renta (25%)</t>
  </si>
  <si>
    <t>UTILIDAD NETA</t>
  </si>
  <si>
    <t>INVERSION</t>
  </si>
  <si>
    <t>Construcción</t>
  </si>
  <si>
    <t>Equipo y mobiliario</t>
  </si>
  <si>
    <t>COSTO TOTAL EQUIPOS Y MOBILIARIO:</t>
  </si>
  <si>
    <t>FLUJO NETO DE CAJA</t>
  </si>
  <si>
    <t>Tasa de Descuento:</t>
  </si>
  <si>
    <t>VAN</t>
  </si>
  <si>
    <t>Otros ingresos</t>
  </si>
  <si>
    <t>Valor Residual</t>
  </si>
  <si>
    <t>Valor a depreciar</t>
  </si>
  <si>
    <t>Tiempo a depreciar</t>
  </si>
  <si>
    <t>Servicios Cirujia</t>
  </si>
  <si>
    <t>Sevicios laboratorio y ambulatorios</t>
  </si>
  <si>
    <t>FRECUENCIA ESTIMADA MES EN BASE A REDMEDICA</t>
  </si>
  <si>
    <t>FRECUENCIA ESTIMADA MES EN BASE A TERCEROS</t>
  </si>
  <si>
    <t>Total Ingresos</t>
  </si>
  <si>
    <t>Medico</t>
  </si>
  <si>
    <t>Ingreso Bruto del Hospital</t>
  </si>
  <si>
    <t>COSTOS</t>
  </si>
  <si>
    <t>Alicuotas</t>
  </si>
  <si>
    <t>Total Costos</t>
  </si>
  <si>
    <t>Impuestos por venta de liquidacion equip</t>
  </si>
  <si>
    <t>Pago Capital</t>
  </si>
  <si>
    <t>Pago Intereses</t>
  </si>
  <si>
    <t>Venta liquidacion equipos</t>
  </si>
  <si>
    <t>TABLA DE AMORTIZACIÓN</t>
  </si>
  <si>
    <t>Gasto Anual</t>
  </si>
  <si>
    <t>OTROS SERVICIOS</t>
  </si>
  <si>
    <t>INGRESO MENSUAL</t>
  </si>
  <si>
    <t>PRESUPUESTO DE VENTAS A 5 AÑOS</t>
  </si>
  <si>
    <t>RADIOLOGÍA Y LABORATORIO</t>
  </si>
  <si>
    <t>TIR:</t>
  </si>
  <si>
    <t>Tasa Efectiva</t>
  </si>
  <si>
    <t>Tasa Nominal:</t>
  </si>
  <si>
    <t>50% crecimiento económico 2012</t>
  </si>
  <si>
    <t>Crecimiento económico 2012:</t>
  </si>
</sst>
</file>

<file path=xl/styles.xml><?xml version="1.0" encoding="utf-8"?>
<styleSheet xmlns="http://schemas.openxmlformats.org/spreadsheetml/2006/main">
  <numFmts count="6">
    <numFmt numFmtId="8" formatCode="&quot;$&quot;\ #,##0.00_);[Red]\(&quot;$&quot;\ #,##0.00\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5" formatCode="_(* #,##0_);_(* \(#,##0\);_(* &quot;-&quot;??_);_(@_)"/>
    <numFmt numFmtId="166" formatCode="&quot;$&quot;\ 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7">
    <xf numFmtId="0" fontId="0" fillId="0" borderId="0" xfId="0"/>
    <xf numFmtId="0" fontId="6" fillId="0" borderId="0" xfId="0" applyFont="1"/>
    <xf numFmtId="0" fontId="5" fillId="2" borderId="12" xfId="0" applyFont="1" applyFill="1" applyBorder="1"/>
    <xf numFmtId="0" fontId="5" fillId="2" borderId="10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3" fillId="2" borderId="2" xfId="0" applyFont="1" applyFill="1" applyBorder="1"/>
    <xf numFmtId="0" fontId="3" fillId="2" borderId="15" xfId="0" applyFont="1" applyFill="1" applyBorder="1"/>
    <xf numFmtId="0" fontId="6" fillId="3" borderId="0" xfId="0" applyFont="1" applyFill="1"/>
    <xf numFmtId="0" fontId="5" fillId="2" borderId="2" xfId="0" applyFont="1" applyFill="1" applyBorder="1"/>
    <xf numFmtId="0" fontId="0" fillId="4" borderId="13" xfId="0" applyFill="1" applyBorder="1"/>
    <xf numFmtId="0" fontId="0" fillId="4" borderId="11" xfId="0" applyFill="1" applyBorder="1"/>
    <xf numFmtId="0" fontId="0" fillId="4" borderId="11" xfId="0" applyFill="1" applyBorder="1" applyAlignment="1">
      <alignment horizontal="left"/>
    </xf>
    <xf numFmtId="0" fontId="0" fillId="4" borderId="14" xfId="0" applyFill="1" applyBorder="1"/>
    <xf numFmtId="0" fontId="2" fillId="0" borderId="9" xfId="0" applyFont="1" applyBorder="1"/>
    <xf numFmtId="0" fontId="0" fillId="3" borderId="0" xfId="0" applyFill="1"/>
    <xf numFmtId="44" fontId="0" fillId="3" borderId="0" xfId="1" applyFont="1" applyFill="1" applyBorder="1"/>
    <xf numFmtId="0" fontId="0" fillId="3" borderId="0" xfId="0" applyFont="1" applyFill="1"/>
    <xf numFmtId="0" fontId="0" fillId="3" borderId="8" xfId="0" applyFill="1" applyBorder="1"/>
    <xf numFmtId="0" fontId="0" fillId="3" borderId="9" xfId="0" applyFill="1" applyBorder="1"/>
    <xf numFmtId="0" fontId="4" fillId="2" borderId="2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22" xfId="0" applyFill="1" applyBorder="1"/>
    <xf numFmtId="0" fontId="0" fillId="4" borderId="23" xfId="0" applyFill="1" applyBorder="1"/>
    <xf numFmtId="0" fontId="2" fillId="4" borderId="13" xfId="0" applyFont="1" applyFill="1" applyBorder="1"/>
    <xf numFmtId="0" fontId="0" fillId="4" borderId="25" xfId="0" applyFill="1" applyBorder="1"/>
    <xf numFmtId="0" fontId="2" fillId="0" borderId="20" xfId="0" applyFont="1" applyFill="1" applyBorder="1"/>
    <xf numFmtId="0" fontId="0" fillId="0" borderId="0" xfId="0" applyFill="1"/>
    <xf numFmtId="0" fontId="0" fillId="0" borderId="0" xfId="0" applyFill="1" applyBorder="1"/>
    <xf numFmtId="44" fontId="0" fillId="0" borderId="0" xfId="0" applyNumberFormat="1"/>
    <xf numFmtId="9" fontId="0" fillId="0" borderId="0" xfId="0" applyNumberFormat="1"/>
    <xf numFmtId="10" fontId="0" fillId="0" borderId="0" xfId="0" applyNumberForma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Alignment="1"/>
    <xf numFmtId="164" fontId="0" fillId="4" borderId="1" xfId="1" applyNumberFormat="1" applyFont="1" applyFill="1" applyBorder="1"/>
    <xf numFmtId="164" fontId="0" fillId="4" borderId="18" xfId="1" applyNumberFormat="1" applyFont="1" applyFill="1" applyBorder="1"/>
    <xf numFmtId="164" fontId="0" fillId="4" borderId="6" xfId="1" applyNumberFormat="1" applyFont="1" applyFill="1" applyBorder="1"/>
    <xf numFmtId="164" fontId="0" fillId="4" borderId="5" xfId="1" applyNumberFormat="1" applyFont="1" applyFill="1" applyBorder="1"/>
    <xf numFmtId="164" fontId="0" fillId="4" borderId="19" xfId="1" applyNumberFormat="1" applyFont="1" applyFill="1" applyBorder="1"/>
    <xf numFmtId="164" fontId="0" fillId="4" borderId="7" xfId="1" applyNumberFormat="1" applyFont="1" applyFill="1" applyBorder="1"/>
    <xf numFmtId="164" fontId="3" fillId="4" borderId="2" xfId="0" applyNumberFormat="1" applyFont="1" applyFill="1" applyBorder="1"/>
    <xf numFmtId="164" fontId="0" fillId="3" borderId="0" xfId="0" applyNumberFormat="1" applyFill="1"/>
    <xf numFmtId="164" fontId="4" fillId="4" borderId="2" xfId="0" applyNumberFormat="1" applyFont="1" applyFill="1" applyBorder="1"/>
    <xf numFmtId="164" fontId="0" fillId="4" borderId="24" xfId="1" applyNumberFormat="1" applyFont="1" applyFill="1" applyBorder="1"/>
    <xf numFmtId="164" fontId="0" fillId="4" borderId="26" xfId="1" applyNumberFormat="1" applyFont="1" applyFill="1" applyBorder="1"/>
    <xf numFmtId="164" fontId="0" fillId="0" borderId="0" xfId="1" applyNumberFormat="1" applyFont="1" applyFill="1" applyBorder="1"/>
    <xf numFmtId="164" fontId="0" fillId="0" borderId="21" xfId="1" applyNumberFormat="1" applyFont="1" applyFill="1" applyBorder="1"/>
    <xf numFmtId="164" fontId="0" fillId="3" borderId="9" xfId="0" applyNumberFormat="1" applyFill="1" applyBorder="1"/>
    <xf numFmtId="164" fontId="0" fillId="4" borderId="9" xfId="1" applyNumberFormat="1" applyFont="1" applyFill="1" applyBorder="1"/>
    <xf numFmtId="164" fontId="0" fillId="0" borderId="0" xfId="0" applyNumberFormat="1"/>
    <xf numFmtId="0" fontId="2" fillId="0" borderId="0" xfId="0" applyFont="1" applyAlignment="1">
      <alignment horizontal="centerContinuous"/>
    </xf>
    <xf numFmtId="44" fontId="0" fillId="5" borderId="1" xfId="0" applyNumberFormat="1" applyFill="1" applyBorder="1"/>
    <xf numFmtId="8" fontId="0" fillId="5" borderId="1" xfId="0" applyNumberFormat="1" applyFill="1" applyBorder="1"/>
    <xf numFmtId="0" fontId="2" fillId="5" borderId="32" xfId="0" applyFont="1" applyFill="1" applyBorder="1"/>
    <xf numFmtId="44" fontId="0" fillId="5" borderId="4" xfId="0" applyNumberFormat="1" applyFill="1" applyBorder="1"/>
    <xf numFmtId="0" fontId="2" fillId="5" borderId="33" xfId="0" applyFont="1" applyFill="1" applyBorder="1"/>
    <xf numFmtId="10" fontId="0" fillId="5" borderId="5" xfId="0" applyNumberFormat="1" applyFill="1" applyBorder="1"/>
    <xf numFmtId="0" fontId="0" fillId="5" borderId="5" xfId="0" applyFill="1" applyBorder="1"/>
    <xf numFmtId="0" fontId="2" fillId="5" borderId="34" xfId="0" applyFont="1" applyFill="1" applyBorder="1"/>
    <xf numFmtId="8" fontId="2" fillId="5" borderId="7" xfId="0" applyNumberFormat="1" applyFont="1" applyFill="1" applyBorder="1"/>
    <xf numFmtId="0" fontId="8" fillId="5" borderId="33" xfId="0" applyFont="1" applyFill="1" applyBorder="1"/>
    <xf numFmtId="44" fontId="0" fillId="5" borderId="5" xfId="0" applyNumberFormat="1" applyFill="1" applyBorder="1"/>
    <xf numFmtId="8" fontId="0" fillId="5" borderId="5" xfId="0" applyNumberFormat="1" applyFill="1" applyBorder="1"/>
    <xf numFmtId="0" fontId="8" fillId="5" borderId="34" xfId="0" applyFont="1" applyFill="1" applyBorder="1"/>
    <xf numFmtId="44" fontId="0" fillId="5" borderId="6" xfId="0" applyNumberFormat="1" applyFill="1" applyBorder="1"/>
    <xf numFmtId="44" fontId="2" fillId="5" borderId="7" xfId="0" applyNumberFormat="1" applyFont="1" applyFill="1" applyBorder="1"/>
    <xf numFmtId="0" fontId="2" fillId="2" borderId="37" xfId="0" applyFont="1" applyFill="1" applyBorder="1"/>
    <xf numFmtId="0" fontId="2" fillId="2" borderId="38" xfId="0" applyFont="1" applyFill="1" applyBorder="1"/>
    <xf numFmtId="0" fontId="2" fillId="2" borderId="39" xfId="0" applyFont="1" applyFill="1" applyBorder="1"/>
    <xf numFmtId="0" fontId="8" fillId="5" borderId="32" xfId="0" applyFont="1" applyFill="1" applyBorder="1"/>
    <xf numFmtId="44" fontId="0" fillId="5" borderId="3" xfId="0" applyNumberFormat="1" applyFill="1" applyBorder="1"/>
    <xf numFmtId="0" fontId="0" fillId="3" borderId="0" xfId="0" applyFill="1" applyBorder="1"/>
    <xf numFmtId="0" fontId="0" fillId="3" borderId="35" xfId="0" applyFill="1" applyBorder="1"/>
    <xf numFmtId="0" fontId="0" fillId="3" borderId="36" xfId="0" applyFill="1" applyBorder="1"/>
    <xf numFmtId="164" fontId="0" fillId="5" borderId="5" xfId="1" applyNumberFormat="1" applyFont="1" applyFill="1" applyBorder="1"/>
    <xf numFmtId="0" fontId="0" fillId="5" borderId="40" xfId="0" applyFill="1" applyBorder="1"/>
    <xf numFmtId="0" fontId="0" fillId="5" borderId="26" xfId="0" applyFill="1" applyBorder="1"/>
    <xf numFmtId="0" fontId="0" fillId="5" borderId="33" xfId="0" applyFill="1" applyBorder="1"/>
    <xf numFmtId="164" fontId="0" fillId="5" borderId="5" xfId="0" applyNumberFormat="1" applyFill="1" applyBorder="1"/>
    <xf numFmtId="0" fontId="0" fillId="5" borderId="33" xfId="0" applyFont="1" applyFill="1" applyBorder="1"/>
    <xf numFmtId="0" fontId="0" fillId="5" borderId="34" xfId="0" applyFill="1" applyBorder="1"/>
    <xf numFmtId="9" fontId="2" fillId="5" borderId="7" xfId="0" applyNumberFormat="1" applyFont="1" applyFill="1" applyBorder="1"/>
    <xf numFmtId="164" fontId="2" fillId="5" borderId="5" xfId="1" applyNumberFormat="1" applyFont="1" applyFill="1" applyBorder="1"/>
    <xf numFmtId="0" fontId="2" fillId="5" borderId="26" xfId="0" applyFont="1" applyFill="1" applyBorder="1"/>
    <xf numFmtId="9" fontId="2" fillId="5" borderId="5" xfId="2" applyFont="1" applyFill="1" applyBorder="1"/>
    <xf numFmtId="164" fontId="2" fillId="5" borderId="5" xfId="0" applyNumberFormat="1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44" fontId="0" fillId="5" borderId="1" xfId="1" applyFont="1" applyFill="1" applyBorder="1"/>
    <xf numFmtId="164" fontId="0" fillId="5" borderId="1" xfId="1" applyNumberFormat="1" applyFont="1" applyFill="1" applyBorder="1"/>
    <xf numFmtId="164" fontId="0" fillId="5" borderId="1" xfId="0" applyNumberFormat="1" applyFill="1" applyBorder="1"/>
    <xf numFmtId="0" fontId="0" fillId="5" borderId="28" xfId="0" applyFill="1" applyBorder="1"/>
    <xf numFmtId="44" fontId="1" fillId="5" borderId="1" xfId="1" applyFont="1" applyFill="1" applyBorder="1"/>
    <xf numFmtId="0" fontId="0" fillId="5" borderId="1" xfId="0" applyFill="1" applyBorder="1"/>
    <xf numFmtId="0" fontId="0" fillId="5" borderId="1" xfId="1" applyNumberFormat="1" applyFont="1" applyFill="1" applyBorder="1"/>
    <xf numFmtId="44" fontId="2" fillId="5" borderId="1" xfId="1" applyFont="1" applyFill="1" applyBorder="1"/>
    <xf numFmtId="0" fontId="11" fillId="3" borderId="25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0" fillId="3" borderId="0" xfId="0" applyFont="1" applyFill="1"/>
    <xf numFmtId="0" fontId="10" fillId="3" borderId="0" xfId="0" applyFont="1" applyFill="1" applyBorder="1"/>
    <xf numFmtId="0" fontId="9" fillId="3" borderId="41" xfId="0" applyFont="1" applyFill="1" applyBorder="1" applyAlignment="1"/>
    <xf numFmtId="0" fontId="10" fillId="3" borderId="42" xfId="0" applyFont="1" applyFill="1" applyBorder="1"/>
    <xf numFmtId="0" fontId="11" fillId="3" borderId="27" xfId="0" applyFont="1" applyFill="1" applyBorder="1" applyAlignment="1">
      <alignment horizontal="center"/>
    </xf>
    <xf numFmtId="0" fontId="0" fillId="3" borderId="27" xfId="0" applyFill="1" applyBorder="1"/>
    <xf numFmtId="0" fontId="0" fillId="3" borderId="25" xfId="0" applyFill="1" applyBorder="1"/>
    <xf numFmtId="44" fontId="0" fillId="3" borderId="25" xfId="1" applyFont="1" applyFill="1" applyBorder="1"/>
    <xf numFmtId="0" fontId="0" fillId="3" borderId="11" xfId="0" applyFill="1" applyBorder="1"/>
    <xf numFmtId="10" fontId="0" fillId="5" borderId="1" xfId="0" applyNumberFormat="1" applyFill="1" applyBorder="1"/>
    <xf numFmtId="10" fontId="2" fillId="6" borderId="1" xfId="0" applyNumberFormat="1" applyFont="1" applyFill="1" applyBorder="1"/>
    <xf numFmtId="164" fontId="0" fillId="6" borderId="1" xfId="0" applyNumberFormat="1" applyFill="1" applyBorder="1"/>
    <xf numFmtId="0" fontId="2" fillId="6" borderId="33" xfId="0" applyFont="1" applyFill="1" applyBorder="1"/>
    <xf numFmtId="10" fontId="2" fillId="6" borderId="5" xfId="0" applyNumberFormat="1" applyFont="1" applyFill="1" applyBorder="1"/>
    <xf numFmtId="0" fontId="0" fillId="6" borderId="33" xfId="0" applyFill="1" applyBorder="1"/>
    <xf numFmtId="0" fontId="2" fillId="6" borderId="34" xfId="0" applyFont="1" applyFill="1" applyBorder="1"/>
    <xf numFmtId="164" fontId="0" fillId="6" borderId="6" xfId="0" applyNumberFormat="1" applyFill="1" applyBorder="1"/>
    <xf numFmtId="0" fontId="3" fillId="3" borderId="4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0" fillId="3" borderId="45" xfId="0" applyFill="1" applyBorder="1"/>
    <xf numFmtId="44" fontId="0" fillId="3" borderId="0" xfId="0" applyNumberFormat="1" applyFill="1" applyBorder="1"/>
    <xf numFmtId="44" fontId="0" fillId="3" borderId="21" xfId="0" applyNumberFormat="1" applyFill="1" applyBorder="1"/>
    <xf numFmtId="0" fontId="0" fillId="4" borderId="33" xfId="0" applyFill="1" applyBorder="1"/>
    <xf numFmtId="0" fontId="2" fillId="4" borderId="5" xfId="0" applyFont="1" applyFill="1" applyBorder="1"/>
    <xf numFmtId="0" fontId="2" fillId="4" borderId="34" xfId="0" applyFont="1" applyFill="1" applyBorder="1"/>
    <xf numFmtId="0" fontId="2" fillId="3" borderId="4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3" borderId="21" xfId="0" applyFill="1" applyBorder="1"/>
    <xf numFmtId="0" fontId="0" fillId="3" borderId="40" xfId="0" applyFill="1" applyBorder="1"/>
    <xf numFmtId="164" fontId="0" fillId="3" borderId="42" xfId="1" applyNumberFormat="1" applyFont="1" applyFill="1" applyBorder="1"/>
    <xf numFmtId="164" fontId="0" fillId="3" borderId="25" xfId="1" applyNumberFormat="1" applyFont="1" applyFill="1" applyBorder="1"/>
    <xf numFmtId="164" fontId="0" fillId="3" borderId="43" xfId="1" applyNumberFormat="1" applyFont="1" applyFill="1" applyBorder="1"/>
    <xf numFmtId="164" fontId="0" fillId="3" borderId="46" xfId="1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7" borderId="1" xfId="0" applyFill="1" applyBorder="1"/>
    <xf numFmtId="165" fontId="0" fillId="7" borderId="1" xfId="3" applyNumberFormat="1" applyFont="1" applyFill="1" applyBorder="1"/>
    <xf numFmtId="164" fontId="0" fillId="7" borderId="1" xfId="1" applyNumberFormat="1" applyFont="1" applyFill="1" applyBorder="1"/>
    <xf numFmtId="0" fontId="12" fillId="7" borderId="1" xfId="0" applyFont="1" applyFill="1" applyBorder="1"/>
    <xf numFmtId="165" fontId="12" fillId="7" borderId="1" xfId="3" applyNumberFormat="1" applyFont="1" applyFill="1" applyBorder="1"/>
    <xf numFmtId="164" fontId="12" fillId="7" borderId="1" xfId="1" applyNumberFormat="1" applyFont="1" applyFill="1" applyBorder="1"/>
    <xf numFmtId="0" fontId="2" fillId="3" borderId="0" xfId="0" applyFont="1" applyFill="1" applyBorder="1"/>
    <xf numFmtId="0" fontId="2" fillId="2" borderId="33" xfId="0" applyFont="1" applyFill="1" applyBorder="1"/>
    <xf numFmtId="0" fontId="2" fillId="2" borderId="5" xfId="0" applyFont="1" applyFill="1" applyBorder="1" applyAlignment="1">
      <alignment vertical="center" wrapText="1"/>
    </xf>
    <xf numFmtId="0" fontId="0" fillId="7" borderId="33" xfId="0" applyFill="1" applyBorder="1"/>
    <xf numFmtId="164" fontId="0" fillId="7" borderId="5" xfId="1" applyNumberFormat="1" applyFont="1" applyFill="1" applyBorder="1"/>
    <xf numFmtId="0" fontId="12" fillId="7" borderId="33" xfId="0" applyFont="1" applyFill="1" applyBorder="1"/>
    <xf numFmtId="164" fontId="12" fillId="7" borderId="5" xfId="1" applyNumberFormat="1" applyFont="1" applyFill="1" applyBorder="1"/>
    <xf numFmtId="0" fontId="2" fillId="7" borderId="34" xfId="0" applyFont="1" applyFill="1" applyBorder="1"/>
    <xf numFmtId="165" fontId="2" fillId="7" borderId="6" xfId="3" applyNumberFormat="1" applyFont="1" applyFill="1" applyBorder="1"/>
    <xf numFmtId="44" fontId="2" fillId="7" borderId="6" xfId="1" applyFont="1" applyFill="1" applyBorder="1"/>
    <xf numFmtId="164" fontId="2" fillId="7" borderId="6" xfId="1" applyNumberFormat="1" applyFont="1" applyFill="1" applyBorder="1"/>
    <xf numFmtId="164" fontId="2" fillId="7" borderId="7" xfId="1" applyNumberFormat="1" applyFont="1" applyFill="1" applyBorder="1"/>
    <xf numFmtId="9" fontId="0" fillId="7" borderId="3" xfId="0" applyNumberFormat="1" applyFill="1" applyBorder="1"/>
    <xf numFmtId="0" fontId="0" fillId="7" borderId="4" xfId="0" applyFill="1" applyBorder="1"/>
    <xf numFmtId="9" fontId="0" fillId="7" borderId="6" xfId="0" applyNumberFormat="1" applyFill="1" applyBorder="1"/>
    <xf numFmtId="0" fontId="0" fillId="7" borderId="7" xfId="0" applyFill="1" applyBorder="1"/>
    <xf numFmtId="165" fontId="0" fillId="4" borderId="1" xfId="3" applyNumberFormat="1" applyFont="1" applyFill="1" applyBorder="1"/>
    <xf numFmtId="0" fontId="0" fillId="2" borderId="33" xfId="0" applyFill="1" applyBorder="1"/>
    <xf numFmtId="0" fontId="2" fillId="2" borderId="5" xfId="0" applyFont="1" applyFill="1" applyBorder="1"/>
    <xf numFmtId="165" fontId="0" fillId="4" borderId="5" xfId="3" applyNumberFormat="1" applyFont="1" applyFill="1" applyBorder="1"/>
    <xf numFmtId="0" fontId="0" fillId="4" borderId="34" xfId="0" applyFill="1" applyBorder="1"/>
    <xf numFmtId="0" fontId="0" fillId="3" borderId="48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2" fillId="2" borderId="32" xfId="0" applyFont="1" applyFill="1" applyBorder="1"/>
    <xf numFmtId="9" fontId="0" fillId="4" borderId="4" xfId="0" applyNumberFormat="1" applyFill="1" applyBorder="1"/>
    <xf numFmtId="0" fontId="2" fillId="2" borderId="34" xfId="0" applyFont="1" applyFill="1" applyBorder="1"/>
    <xf numFmtId="9" fontId="0" fillId="4" borderId="7" xfId="0" applyNumberFormat="1" applyFill="1" applyBorder="1"/>
    <xf numFmtId="0" fontId="13" fillId="2" borderId="32" xfId="0" applyFont="1" applyFill="1" applyBorder="1"/>
    <xf numFmtId="0" fontId="13" fillId="2" borderId="3" xfId="0" applyFont="1" applyFill="1" applyBorder="1"/>
    <xf numFmtId="0" fontId="13" fillId="2" borderId="4" xfId="0" applyFont="1" applyFill="1" applyBorder="1"/>
    <xf numFmtId="0" fontId="12" fillId="4" borderId="34" xfId="0" applyFont="1" applyFill="1" applyBorder="1"/>
    <xf numFmtId="44" fontId="12" fillId="4" borderId="6" xfId="1" applyFont="1" applyFill="1" applyBorder="1"/>
    <xf numFmtId="44" fontId="12" fillId="4" borderId="7" xfId="1" applyFont="1" applyFill="1" applyBorder="1"/>
    <xf numFmtId="44" fontId="0" fillId="3" borderId="0" xfId="0" applyNumberFormat="1" applyFill="1"/>
    <xf numFmtId="0" fontId="2" fillId="2" borderId="1" xfId="0" applyFont="1" applyFill="1" applyBorder="1" applyAlignment="1">
      <alignment horizontal="center"/>
    </xf>
    <xf numFmtId="0" fontId="2" fillId="2" borderId="28" xfId="0" applyFont="1" applyFill="1" applyBorder="1"/>
    <xf numFmtId="164" fontId="0" fillId="8" borderId="1" xfId="0" applyNumberFormat="1" applyFill="1" applyBorder="1"/>
    <xf numFmtId="165" fontId="0" fillId="8" borderId="1" xfId="3" applyNumberFormat="1" applyFont="1" applyFill="1" applyBorder="1"/>
    <xf numFmtId="9" fontId="0" fillId="8" borderId="1" xfId="2" applyFont="1" applyFill="1" applyBorder="1"/>
    <xf numFmtId="164" fontId="0" fillId="8" borderId="1" xfId="1" applyNumberFormat="1" applyFont="1" applyFill="1" applyBorder="1"/>
    <xf numFmtId="0" fontId="2" fillId="2" borderId="51" xfId="0" applyFont="1" applyFill="1" applyBorder="1"/>
    <xf numFmtId="0" fontId="0" fillId="8" borderId="33" xfId="0" applyFill="1" applyBorder="1"/>
    <xf numFmtId="164" fontId="0" fillId="8" borderId="5" xfId="1" applyNumberFormat="1" applyFont="1" applyFill="1" applyBorder="1"/>
    <xf numFmtId="0" fontId="2" fillId="8" borderId="34" xfId="0" applyFont="1" applyFill="1" applyBorder="1"/>
    <xf numFmtId="164" fontId="0" fillId="8" borderId="6" xfId="0" applyNumberFormat="1" applyFill="1" applyBorder="1"/>
    <xf numFmtId="44" fontId="0" fillId="8" borderId="6" xfId="0" applyNumberFormat="1" applyFill="1" applyBorder="1"/>
    <xf numFmtId="0" fontId="0" fillId="8" borderId="6" xfId="0" applyFill="1" applyBorder="1"/>
    <xf numFmtId="164" fontId="1" fillId="8" borderId="6" xfId="1" applyNumberFormat="1" applyFont="1" applyFill="1" applyBorder="1"/>
    <xf numFmtId="164" fontId="1" fillId="8" borderId="7" xfId="1" applyNumberFormat="1" applyFont="1" applyFill="1" applyBorder="1"/>
    <xf numFmtId="0" fontId="2" fillId="3" borderId="45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164" fontId="0" fillId="3" borderId="0" xfId="0" applyNumberFormat="1" applyFill="1" applyBorder="1"/>
    <xf numFmtId="164" fontId="0" fillId="3" borderId="21" xfId="0" applyNumberFormat="1" applyFill="1" applyBorder="1"/>
    <xf numFmtId="0" fontId="0" fillId="4" borderId="29" xfId="0" applyFill="1" applyBorder="1"/>
    <xf numFmtId="164" fontId="2" fillId="4" borderId="29" xfId="0" applyNumberFormat="1" applyFont="1" applyFill="1" applyBorder="1"/>
    <xf numFmtId="164" fontId="0" fillId="4" borderId="29" xfId="0" applyNumberFormat="1" applyFill="1" applyBorder="1"/>
    <xf numFmtId="0" fontId="2" fillId="2" borderId="52" xfId="0" applyFont="1" applyFill="1" applyBorder="1" applyAlignment="1">
      <alignment horizontal="centerContinuous"/>
    </xf>
    <xf numFmtId="0" fontId="2" fillId="2" borderId="35" xfId="0" applyFont="1" applyFill="1" applyBorder="1" applyAlignment="1">
      <alignment horizontal="centerContinuous"/>
    </xf>
    <xf numFmtId="0" fontId="2" fillId="2" borderId="53" xfId="0" applyFont="1" applyFill="1" applyBorder="1" applyAlignment="1">
      <alignment horizontal="centerContinuous"/>
    </xf>
    <xf numFmtId="0" fontId="2" fillId="2" borderId="45" xfId="0" applyFont="1" applyFill="1" applyBorder="1"/>
    <xf numFmtId="44" fontId="0" fillId="4" borderId="0" xfId="0" applyNumberFormat="1" applyFill="1" applyBorder="1"/>
    <xf numFmtId="0" fontId="0" fillId="4" borderId="0" xfId="0" applyFill="1" applyBorder="1"/>
    <xf numFmtId="0" fontId="0" fillId="4" borderId="21" xfId="0" applyFill="1" applyBorder="1"/>
    <xf numFmtId="164" fontId="0" fillId="4" borderId="0" xfId="0" applyNumberFormat="1" applyFill="1" applyBorder="1"/>
    <xf numFmtId="164" fontId="0" fillId="4" borderId="21" xfId="0" applyNumberFormat="1" applyFill="1" applyBorder="1"/>
    <xf numFmtId="164" fontId="2" fillId="4" borderId="55" xfId="0" applyNumberFormat="1" applyFont="1" applyFill="1" applyBorder="1"/>
    <xf numFmtId="0" fontId="0" fillId="4" borderId="45" xfId="0" applyFill="1" applyBorder="1"/>
    <xf numFmtId="0" fontId="2" fillId="4" borderId="45" xfId="0" applyFont="1" applyFill="1" applyBorder="1"/>
    <xf numFmtId="0" fontId="2" fillId="2" borderId="54" xfId="0" applyFont="1" applyFill="1" applyBorder="1"/>
    <xf numFmtId="164" fontId="0" fillId="4" borderId="55" xfId="0" applyNumberFormat="1" applyFill="1" applyBorder="1"/>
    <xf numFmtId="164" fontId="0" fillId="4" borderId="56" xfId="0" applyNumberFormat="1" applyFill="1" applyBorder="1"/>
    <xf numFmtId="164" fontId="0" fillId="4" borderId="36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164" fontId="2" fillId="4" borderId="1" xfId="0" applyNumberFormat="1" applyFont="1" applyFill="1" applyBorder="1"/>
    <xf numFmtId="0" fontId="0" fillId="4" borderId="1" xfId="0" applyFont="1" applyFill="1" applyBorder="1"/>
    <xf numFmtId="164" fontId="0" fillId="4" borderId="1" xfId="0" applyNumberFormat="1" applyFont="1" applyFill="1" applyBorder="1"/>
    <xf numFmtId="0" fontId="2" fillId="2" borderId="5" xfId="0" applyFont="1" applyFill="1" applyBorder="1" applyAlignment="1">
      <alignment horizontal="center"/>
    </xf>
    <xf numFmtId="0" fontId="0" fillId="4" borderId="33" xfId="0" applyFill="1" applyBorder="1" applyAlignment="1">
      <alignment horizontal="left" indent="1"/>
    </xf>
    <xf numFmtId="164" fontId="0" fillId="4" borderId="5" xfId="0" applyNumberFormat="1" applyFill="1" applyBorder="1"/>
    <xf numFmtId="0" fontId="2" fillId="4" borderId="33" xfId="0" applyFont="1" applyFill="1" applyBorder="1" applyAlignment="1">
      <alignment horizontal="left" indent="1"/>
    </xf>
    <xf numFmtId="164" fontId="2" fillId="4" borderId="5" xfId="0" applyNumberFormat="1" applyFont="1" applyFill="1" applyBorder="1"/>
    <xf numFmtId="0" fontId="0" fillId="4" borderId="33" xfId="0" applyFont="1" applyFill="1" applyBorder="1"/>
    <xf numFmtId="164" fontId="0" fillId="4" borderId="5" xfId="0" applyNumberFormat="1" applyFont="1" applyFill="1" applyBorder="1"/>
    <xf numFmtId="9" fontId="2" fillId="4" borderId="6" xfId="0" applyNumberFormat="1" applyFont="1" applyFill="1" applyBorder="1"/>
    <xf numFmtId="0" fontId="13" fillId="2" borderId="1" xfId="0" applyFont="1" applyFill="1" applyBorder="1"/>
    <xf numFmtId="10" fontId="0" fillId="5" borderId="1" xfId="2" applyNumberFormat="1" applyFont="1" applyFill="1" applyBorder="1"/>
    <xf numFmtId="1" fontId="0" fillId="0" borderId="0" xfId="0" applyNumberFormat="1" applyAlignment="1">
      <alignment horizontal="left" indent="1"/>
    </xf>
    <xf numFmtId="0" fontId="0" fillId="3" borderId="0" xfId="1" applyNumberFormat="1" applyFont="1" applyFill="1" applyBorder="1"/>
    <xf numFmtId="44" fontId="2" fillId="3" borderId="0" xfId="1" applyFont="1" applyFill="1" applyBorder="1"/>
    <xf numFmtId="166" fontId="0" fillId="0" borderId="0" xfId="0" applyNumberFormat="1"/>
    <xf numFmtId="44" fontId="0" fillId="6" borderId="1" xfId="0" applyNumberFormat="1" applyFill="1" applyBorder="1"/>
    <xf numFmtId="44" fontId="0" fillId="3" borderId="1" xfId="0" applyNumberFormat="1" applyFill="1" applyBorder="1"/>
    <xf numFmtId="0" fontId="2" fillId="5" borderId="47" xfId="0" applyFont="1" applyFill="1" applyBorder="1"/>
    <xf numFmtId="0" fontId="2" fillId="5" borderId="57" xfId="0" applyFont="1" applyFill="1" applyBorder="1"/>
    <xf numFmtId="9" fontId="0" fillId="5" borderId="12" xfId="0" applyNumberFormat="1" applyFill="1" applyBorder="1"/>
    <xf numFmtId="9" fontId="0" fillId="5" borderId="14" xfId="0" applyNumberFormat="1" applyFill="1" applyBorder="1"/>
    <xf numFmtId="9" fontId="2" fillId="4" borderId="1" xfId="0" applyNumberFormat="1" applyFont="1" applyFill="1" applyBorder="1"/>
    <xf numFmtId="0" fontId="0" fillId="3" borderId="26" xfId="0" applyFill="1" applyBorder="1"/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2" fillId="2" borderId="50" xfId="0" applyFont="1" applyFill="1" applyBorder="1" applyAlignment="1">
      <alignment horizontal="center" wrapText="1"/>
    </xf>
    <xf numFmtId="0" fontId="2" fillId="2" borderId="43" xfId="0" applyFont="1" applyFill="1" applyBorder="1" applyAlignment="1">
      <alignment horizontal="center" wrapText="1"/>
    </xf>
    <xf numFmtId="0" fontId="2" fillId="2" borderId="4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</cellXfs>
  <cellStyles count="4">
    <cellStyle name="Millares" xfId="3" builtinId="3"/>
    <cellStyle name="Moneda" xfId="1" builtinId="4"/>
    <cellStyle name="Normal" xfId="0" builtinId="0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72"/>
  <sheetViews>
    <sheetView tabSelected="1" topLeftCell="A35" zoomScale="80" zoomScaleNormal="80" workbookViewId="0">
      <selection activeCell="F51" sqref="F51"/>
    </sheetView>
  </sheetViews>
  <sheetFormatPr baseColWidth="10" defaultRowHeight="15"/>
  <cols>
    <col min="2" max="2" width="39.28515625" customWidth="1"/>
    <col min="3" max="3" width="36" bestFit="1" customWidth="1"/>
    <col min="4" max="4" width="35.5703125" customWidth="1"/>
    <col min="5" max="5" width="19.42578125" customWidth="1"/>
    <col min="6" max="6" width="20.140625" bestFit="1" customWidth="1"/>
    <col min="7" max="7" width="14" bestFit="1" customWidth="1"/>
  </cols>
  <sheetData>
    <row r="1" spans="2:6" ht="15.75" thickBot="1"/>
    <row r="2" spans="2:6" ht="19.5" thickBot="1">
      <c r="B2" s="247" t="s">
        <v>14</v>
      </c>
      <c r="C2" s="248"/>
      <c r="D2" s="248"/>
      <c r="E2" s="248"/>
      <c r="F2" s="249"/>
    </row>
    <row r="3" spans="2:6" ht="15.75" thickBot="1">
      <c r="B3" s="15"/>
      <c r="C3" s="15"/>
      <c r="D3" s="15"/>
      <c r="E3" s="15"/>
      <c r="F3" s="15"/>
    </row>
    <row r="4" spans="2:6" ht="16.5" thickBot="1">
      <c r="B4" s="9" t="s">
        <v>25</v>
      </c>
      <c r="C4" s="15"/>
      <c r="D4" s="15"/>
      <c r="E4" s="15"/>
      <c r="F4" s="15"/>
    </row>
    <row r="5" spans="2:6" ht="15.75" thickBot="1">
      <c r="B5" s="15"/>
      <c r="C5" s="15"/>
      <c r="D5" s="15"/>
      <c r="E5" s="15"/>
      <c r="F5" s="15"/>
    </row>
    <row r="6" spans="2:6" ht="16.5" thickBot="1">
      <c r="B6" s="9" t="s">
        <v>11</v>
      </c>
      <c r="C6" s="14" t="s">
        <v>32</v>
      </c>
      <c r="D6" s="17"/>
      <c r="E6" s="15"/>
      <c r="F6" s="15"/>
    </row>
    <row r="7" spans="2:6" ht="15.75" thickBot="1">
      <c r="B7" s="15"/>
      <c r="C7" s="17"/>
      <c r="D7" s="17"/>
      <c r="E7" s="15"/>
      <c r="F7" s="15"/>
    </row>
    <row r="8" spans="2:6" ht="15.75">
      <c r="B8" s="2" t="s">
        <v>4</v>
      </c>
      <c r="C8" s="3" t="s">
        <v>5</v>
      </c>
      <c r="D8" s="3" t="s">
        <v>13</v>
      </c>
      <c r="E8" s="4" t="s">
        <v>6</v>
      </c>
      <c r="F8" s="5" t="s">
        <v>7</v>
      </c>
    </row>
    <row r="9" spans="2:6">
      <c r="B9" s="10" t="s">
        <v>9</v>
      </c>
      <c r="C9" s="11" t="s">
        <v>22</v>
      </c>
      <c r="D9" s="11">
        <f>8*40</f>
        <v>320</v>
      </c>
      <c r="E9" s="39">
        <v>700</v>
      </c>
      <c r="F9" s="42">
        <f>+E9*D9</f>
        <v>224000</v>
      </c>
    </row>
    <row r="10" spans="2:6">
      <c r="B10" s="10" t="s">
        <v>10</v>
      </c>
      <c r="C10" s="11" t="s">
        <v>23</v>
      </c>
      <c r="D10" s="11">
        <f>3*35</f>
        <v>105</v>
      </c>
      <c r="E10" s="39">
        <v>700</v>
      </c>
      <c r="F10" s="42">
        <f t="shared" ref="F10:F14" si="0">+E10*D10</f>
        <v>73500</v>
      </c>
    </row>
    <row r="11" spans="2:6">
      <c r="B11" s="10" t="s">
        <v>21</v>
      </c>
      <c r="C11" s="11" t="s">
        <v>17</v>
      </c>
      <c r="D11" s="11">
        <v>200</v>
      </c>
      <c r="E11" s="39">
        <v>700</v>
      </c>
      <c r="F11" s="42">
        <f t="shared" si="0"/>
        <v>140000</v>
      </c>
    </row>
    <row r="12" spans="2:6">
      <c r="B12" s="10" t="s">
        <v>1</v>
      </c>
      <c r="C12" s="11" t="s">
        <v>18</v>
      </c>
      <c r="D12" s="11">
        <v>80</v>
      </c>
      <c r="E12" s="39">
        <v>700</v>
      </c>
      <c r="F12" s="42">
        <f t="shared" si="0"/>
        <v>56000</v>
      </c>
    </row>
    <row r="13" spans="2:6" ht="15.75" thickBot="1">
      <c r="B13" s="10" t="s">
        <v>2</v>
      </c>
      <c r="C13" s="24" t="s">
        <v>19</v>
      </c>
      <c r="D13" s="24">
        <v>30</v>
      </c>
      <c r="E13" s="39">
        <v>700</v>
      </c>
      <c r="F13" s="43">
        <f t="shared" si="0"/>
        <v>21000</v>
      </c>
    </row>
    <row r="14" spans="2:6">
      <c r="B14" s="25" t="s">
        <v>24</v>
      </c>
      <c r="C14" s="26" t="s">
        <v>30</v>
      </c>
      <c r="D14" s="26">
        <v>280</v>
      </c>
      <c r="E14" s="39">
        <v>700</v>
      </c>
      <c r="F14" s="48">
        <f t="shared" si="0"/>
        <v>196000</v>
      </c>
    </row>
    <row r="15" spans="2:6">
      <c r="B15" s="27" t="s">
        <v>28</v>
      </c>
      <c r="C15" s="28" t="s">
        <v>27</v>
      </c>
      <c r="D15" s="28">
        <f>SUM(D9:D14)</f>
        <v>1015</v>
      </c>
      <c r="E15" s="39">
        <v>700</v>
      </c>
      <c r="F15" s="49">
        <f>+E15*D15</f>
        <v>710500</v>
      </c>
    </row>
    <row r="16" spans="2:6">
      <c r="B16" s="29"/>
      <c r="C16" s="30"/>
      <c r="D16" s="31"/>
      <c r="E16" s="50"/>
      <c r="F16" s="51"/>
    </row>
    <row r="17" spans="2:6">
      <c r="B17" s="10" t="s">
        <v>0</v>
      </c>
      <c r="C17" s="11" t="s">
        <v>15</v>
      </c>
      <c r="D17" s="11">
        <v>500</v>
      </c>
      <c r="E17" s="39">
        <v>300</v>
      </c>
      <c r="F17" s="42">
        <f>+E17*D17</f>
        <v>150000</v>
      </c>
    </row>
    <row r="18" spans="2:6" ht="15.75" thickBot="1">
      <c r="B18" s="10" t="s">
        <v>3</v>
      </c>
      <c r="C18" s="12">
        <v>20</v>
      </c>
      <c r="D18" s="11">
        <v>160</v>
      </c>
      <c r="E18" s="39">
        <v>300</v>
      </c>
      <c r="F18" s="42">
        <f>+E18*D18</f>
        <v>48000</v>
      </c>
    </row>
    <row r="19" spans="2:6" ht="16.5" thickBot="1">
      <c r="B19" s="6" t="s">
        <v>16</v>
      </c>
      <c r="C19" s="18"/>
      <c r="D19" s="18"/>
      <c r="E19" s="52"/>
      <c r="F19" s="45">
        <f>+F15+F17+F18</f>
        <v>908500</v>
      </c>
    </row>
    <row r="20" spans="2:6" ht="16.5" thickBot="1">
      <c r="B20" s="8"/>
      <c r="D20" s="15"/>
      <c r="E20" s="15"/>
      <c r="F20" s="15"/>
    </row>
    <row r="21" spans="2:6" ht="16.5" thickBot="1">
      <c r="B21" s="7" t="s">
        <v>12</v>
      </c>
      <c r="C21" s="53">
        <v>700</v>
      </c>
      <c r="D21" s="16"/>
      <c r="E21" s="15"/>
      <c r="F21" s="15"/>
    </row>
    <row r="22" spans="2:6" ht="16.5" thickBot="1">
      <c r="B22" s="1"/>
      <c r="C22" s="15"/>
      <c r="D22" s="15"/>
      <c r="E22" s="15"/>
      <c r="F22" s="15"/>
    </row>
    <row r="23" spans="2:6" ht="16.5" thickBot="1">
      <c r="B23" s="9" t="s">
        <v>29</v>
      </c>
      <c r="C23" s="15"/>
      <c r="D23" s="15"/>
      <c r="E23" s="15"/>
      <c r="F23" s="15"/>
    </row>
    <row r="24" spans="2:6" ht="15.75" thickBot="1">
      <c r="C24" s="15"/>
      <c r="D24" s="15"/>
      <c r="E24" s="15"/>
      <c r="F24" s="15"/>
    </row>
    <row r="25" spans="2:6" ht="15.75">
      <c r="B25" s="3" t="s">
        <v>5</v>
      </c>
      <c r="C25" s="4" t="s">
        <v>6</v>
      </c>
      <c r="D25" s="5" t="s">
        <v>7</v>
      </c>
      <c r="E25" s="15"/>
      <c r="F25" s="15"/>
    </row>
    <row r="26" spans="2:6">
      <c r="B26" s="10" t="s">
        <v>8</v>
      </c>
      <c r="C26" s="39">
        <v>120000</v>
      </c>
      <c r="D26" s="42">
        <f>+C26*3</f>
        <v>360000</v>
      </c>
      <c r="E26" s="15"/>
      <c r="F26" s="15"/>
    </row>
    <row r="27" spans="2:6">
      <c r="B27" s="23" t="s">
        <v>31</v>
      </c>
      <c r="C27" s="40">
        <v>7000</v>
      </c>
      <c r="D27" s="43">
        <f>+C27*8</f>
        <v>56000</v>
      </c>
      <c r="E27" s="15"/>
      <c r="F27" s="15"/>
    </row>
    <row r="28" spans="2:6" ht="15.75" thickBot="1">
      <c r="B28" s="13" t="s">
        <v>26</v>
      </c>
      <c r="C28" s="41">
        <v>80000</v>
      </c>
      <c r="D28" s="44">
        <f>+C28</f>
        <v>80000</v>
      </c>
      <c r="E28" s="15"/>
      <c r="F28" s="15"/>
    </row>
    <row r="29" spans="2:6" ht="15.75" thickBot="1">
      <c r="B29" s="15"/>
      <c r="C29" s="15"/>
      <c r="D29" s="15"/>
      <c r="E29" s="15"/>
      <c r="F29" s="15"/>
    </row>
    <row r="30" spans="2:6" ht="16.5" thickBot="1">
      <c r="B30" s="6" t="s">
        <v>134</v>
      </c>
      <c r="C30" s="18"/>
      <c r="D30" s="18"/>
      <c r="E30" s="19"/>
      <c r="F30" s="45">
        <f>+D26+D27+D28</f>
        <v>496000</v>
      </c>
    </row>
    <row r="31" spans="2:6" ht="15.75" thickBot="1">
      <c r="B31" s="15"/>
      <c r="C31" s="15"/>
      <c r="D31" s="15"/>
      <c r="E31" s="15"/>
      <c r="F31" s="46"/>
    </row>
    <row r="32" spans="2:6" ht="19.5" thickBot="1">
      <c r="B32" s="20" t="s">
        <v>20</v>
      </c>
      <c r="C32" s="21"/>
      <c r="D32" s="21"/>
      <c r="E32" s="22"/>
      <c r="F32" s="47">
        <f>+F30+F19</f>
        <v>1404500</v>
      </c>
    </row>
    <row r="35" spans="2:5" ht="15.75" thickBot="1"/>
    <row r="36" spans="2:5">
      <c r="B36" s="250" t="s">
        <v>92</v>
      </c>
      <c r="C36" s="251"/>
    </row>
    <row r="37" spans="2:5">
      <c r="B37" s="132"/>
      <c r="C37" s="246"/>
    </row>
    <row r="38" spans="2:5">
      <c r="B38" s="60" t="s">
        <v>93</v>
      </c>
      <c r="C38" s="87">
        <f>+F32</f>
        <v>1404500</v>
      </c>
    </row>
    <row r="39" spans="2:5">
      <c r="B39" s="80"/>
      <c r="C39" s="81"/>
    </row>
    <row r="40" spans="2:5">
      <c r="B40" s="60" t="s">
        <v>94</v>
      </c>
      <c r="C40" s="62"/>
    </row>
    <row r="41" spans="2:5">
      <c r="B41" s="82" t="s">
        <v>95</v>
      </c>
      <c r="C41" s="79">
        <v>80000</v>
      </c>
    </row>
    <row r="42" spans="2:5">
      <c r="B42" s="82" t="s">
        <v>98</v>
      </c>
      <c r="C42" s="83">
        <f>+C41/40</f>
        <v>2000</v>
      </c>
    </row>
    <row r="43" spans="2:5">
      <c r="B43" s="84" t="s">
        <v>96</v>
      </c>
      <c r="C43" s="62">
        <v>8</v>
      </c>
    </row>
    <row r="44" spans="2:5">
      <c r="B44" s="84" t="s">
        <v>97</v>
      </c>
      <c r="C44" s="87">
        <f>+C41*C43</f>
        <v>640000</v>
      </c>
    </row>
    <row r="45" spans="2:5">
      <c r="B45" s="80"/>
      <c r="C45" s="81"/>
      <c r="D45" s="32"/>
    </row>
    <row r="46" spans="2:5">
      <c r="B46" s="82" t="s">
        <v>99</v>
      </c>
      <c r="C46" s="89">
        <f>+C44/C38</f>
        <v>0.45567817728729088</v>
      </c>
      <c r="E46" s="32"/>
    </row>
    <row r="47" spans="2:5">
      <c r="B47" s="80"/>
      <c r="C47" s="88"/>
    </row>
    <row r="48" spans="2:5">
      <c r="B48" s="60" t="s">
        <v>100</v>
      </c>
      <c r="C48" s="87">
        <v>400000</v>
      </c>
      <c r="E48" s="32"/>
    </row>
    <row r="49" spans="2:7">
      <c r="B49" s="80"/>
      <c r="C49" s="81"/>
    </row>
    <row r="50" spans="2:7">
      <c r="B50" s="82" t="s">
        <v>99</v>
      </c>
      <c r="C50" s="89">
        <f>+C48/F32</f>
        <v>0.2847988608045568</v>
      </c>
    </row>
    <row r="51" spans="2:7">
      <c r="B51" s="80"/>
      <c r="C51" s="81"/>
    </row>
    <row r="52" spans="2:7">
      <c r="B52" s="60" t="s">
        <v>101</v>
      </c>
      <c r="C52" s="90">
        <f>+C38-C44-C48</f>
        <v>364500</v>
      </c>
    </row>
    <row r="53" spans="2:7">
      <c r="B53" s="82"/>
      <c r="C53" s="62"/>
    </row>
    <row r="54" spans="2:7" ht="15.75" thickBot="1">
      <c r="B54" s="85" t="s">
        <v>99</v>
      </c>
      <c r="C54" s="86">
        <f>+C52/C38</f>
        <v>0.25952296190815238</v>
      </c>
    </row>
    <row r="57" spans="2:7" ht="15.75" thickBot="1"/>
    <row r="58" spans="2:7" ht="15.75" thickBot="1">
      <c r="B58" s="252" t="s">
        <v>106</v>
      </c>
      <c r="C58" s="253"/>
      <c r="D58" s="15"/>
      <c r="E58" s="15"/>
      <c r="F58" s="15"/>
      <c r="G58" s="15"/>
    </row>
    <row r="59" spans="2:7" ht="15.75" thickBot="1">
      <c r="B59" s="76"/>
      <c r="C59" s="76"/>
      <c r="D59" s="76"/>
      <c r="E59" s="15"/>
      <c r="F59" s="15"/>
      <c r="G59" s="15"/>
    </row>
    <row r="60" spans="2:7">
      <c r="B60" s="58" t="s">
        <v>107</v>
      </c>
      <c r="C60" s="59">
        <f>+C52</f>
        <v>364500</v>
      </c>
      <c r="D60" s="15"/>
      <c r="E60" s="15"/>
      <c r="F60" s="15"/>
      <c r="G60" s="15"/>
    </row>
    <row r="61" spans="2:7">
      <c r="B61" s="60" t="s">
        <v>163</v>
      </c>
      <c r="C61" s="61">
        <v>0.112</v>
      </c>
      <c r="D61" s="15" t="s">
        <v>109</v>
      </c>
      <c r="E61" s="233" t="s">
        <v>164</v>
      </c>
      <c r="F61" s="234">
        <f>NOMINAL(C61,5)</f>
        <v>0.10729521322448643</v>
      </c>
    </row>
    <row r="62" spans="2:7">
      <c r="B62" s="60" t="s">
        <v>108</v>
      </c>
      <c r="C62" s="62">
        <v>5</v>
      </c>
      <c r="D62" s="15" t="s">
        <v>110</v>
      </c>
      <c r="E62" s="15"/>
      <c r="F62" s="15"/>
      <c r="G62" s="15"/>
    </row>
    <row r="63" spans="2:7" ht="15.75" thickBot="1">
      <c r="B63" s="63" t="s">
        <v>111</v>
      </c>
      <c r="C63" s="64">
        <f>PMT(F61,C62,-C60)</f>
        <v>97952.734950346436</v>
      </c>
      <c r="D63" s="15"/>
      <c r="E63" s="15"/>
      <c r="F63" s="15"/>
      <c r="G63" s="15"/>
    </row>
    <row r="64" spans="2:7" ht="15.75" thickBot="1">
      <c r="D64" s="15"/>
      <c r="E64" s="15"/>
      <c r="F64" s="15"/>
      <c r="G64" s="15"/>
    </row>
    <row r="65" spans="2:7" ht="15.75" thickBot="1">
      <c r="B65" s="254" t="s">
        <v>156</v>
      </c>
      <c r="C65" s="255"/>
      <c r="D65" s="255"/>
      <c r="E65" s="255"/>
      <c r="F65" s="255"/>
      <c r="G65" s="256"/>
    </row>
    <row r="66" spans="2:7" ht="15.75" thickBot="1">
      <c r="B66" s="77"/>
      <c r="C66" s="15"/>
      <c r="D66" s="15"/>
      <c r="E66" s="15"/>
      <c r="F66" s="15"/>
      <c r="G66" s="15"/>
    </row>
    <row r="67" spans="2:7" ht="15.75" thickBot="1">
      <c r="B67" s="78"/>
      <c r="C67" s="71" t="s">
        <v>75</v>
      </c>
      <c r="D67" s="72" t="s">
        <v>76</v>
      </c>
      <c r="E67" s="72" t="s">
        <v>77</v>
      </c>
      <c r="F67" s="72" t="s">
        <v>78</v>
      </c>
      <c r="G67" s="73" t="s">
        <v>79</v>
      </c>
    </row>
    <row r="68" spans="2:7">
      <c r="B68" s="74" t="s">
        <v>112</v>
      </c>
      <c r="C68" s="75">
        <f>+C60</f>
        <v>364500</v>
      </c>
      <c r="D68" s="75">
        <f>+C72</f>
        <v>305656.37026997888</v>
      </c>
      <c r="E68" s="75">
        <f>+D72</f>
        <v>240499.10074117241</v>
      </c>
      <c r="F68" s="75">
        <f>+E72</f>
        <v>168350.76808514734</v>
      </c>
      <c r="G68" s="59">
        <f>+F72</f>
        <v>88461.264693002857</v>
      </c>
    </row>
    <row r="69" spans="2:7">
      <c r="B69" s="65" t="s">
        <v>113</v>
      </c>
      <c r="C69" s="56">
        <f>+$F$61*C68</f>
        <v>39109.105220325306</v>
      </c>
      <c r="D69" s="56">
        <f>+$F$61*D68</f>
        <v>32795.465421539957</v>
      </c>
      <c r="E69" s="56">
        <f t="shared" ref="E69:G69" si="1">+$F$61*E68</f>
        <v>25804.402294321335</v>
      </c>
      <c r="F69" s="56">
        <f t="shared" si="1"/>
        <v>18063.231558201947</v>
      </c>
      <c r="G69" s="56">
        <f t="shared" si="1"/>
        <v>9491.4702573434752</v>
      </c>
    </row>
    <row r="70" spans="2:7">
      <c r="B70" s="65" t="s">
        <v>114</v>
      </c>
      <c r="C70" s="56">
        <f>+C68+C69</f>
        <v>403609.10522032529</v>
      </c>
      <c r="D70" s="56">
        <f>+D68+D69</f>
        <v>338451.83569151885</v>
      </c>
      <c r="E70" s="56">
        <f t="shared" ref="E70:G70" si="2">+E68+E69</f>
        <v>266303.50303549378</v>
      </c>
      <c r="F70" s="56">
        <f t="shared" si="2"/>
        <v>186413.99964334929</v>
      </c>
      <c r="G70" s="66">
        <f t="shared" si="2"/>
        <v>97952.734950346334</v>
      </c>
    </row>
    <row r="71" spans="2:7">
      <c r="B71" s="65" t="s">
        <v>115</v>
      </c>
      <c r="C71" s="57">
        <f>+C63</f>
        <v>97952.734950346436</v>
      </c>
      <c r="D71" s="57">
        <f>+$C$63</f>
        <v>97952.734950346436</v>
      </c>
      <c r="E71" s="57">
        <f t="shared" ref="E71:G71" si="3">+$C$63</f>
        <v>97952.734950346436</v>
      </c>
      <c r="F71" s="57">
        <f t="shared" si="3"/>
        <v>97952.734950346436</v>
      </c>
      <c r="G71" s="67">
        <f t="shared" si="3"/>
        <v>97952.734950346436</v>
      </c>
    </row>
    <row r="72" spans="2:7" ht="15.75" thickBot="1">
      <c r="B72" s="68" t="s">
        <v>116</v>
      </c>
      <c r="C72" s="69">
        <f>+C70-C71</f>
        <v>305656.37026997888</v>
      </c>
      <c r="D72" s="69">
        <f>+D70-D71</f>
        <v>240499.10074117241</v>
      </c>
      <c r="E72" s="69">
        <f t="shared" ref="E72:F72" si="4">+E70-E71</f>
        <v>168350.76808514734</v>
      </c>
      <c r="F72" s="69">
        <f t="shared" si="4"/>
        <v>88461.264693002857</v>
      </c>
      <c r="G72" s="70">
        <f>+G70-G71</f>
        <v>0</v>
      </c>
    </row>
  </sheetData>
  <mergeCells count="4">
    <mergeCell ref="B2:F2"/>
    <mergeCell ref="B36:C36"/>
    <mergeCell ref="B58:C58"/>
    <mergeCell ref="B65:G6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M54"/>
  <sheetViews>
    <sheetView topLeftCell="A31" zoomScale="90" zoomScaleNormal="90" workbookViewId="0">
      <selection activeCell="B39" sqref="B39:H54"/>
    </sheetView>
  </sheetViews>
  <sheetFormatPr baseColWidth="10" defaultRowHeight="15"/>
  <cols>
    <col min="2" max="2" width="38.85546875" bestFit="1" customWidth="1"/>
    <col min="3" max="3" width="15.42578125" customWidth="1"/>
    <col min="4" max="4" width="16.42578125" customWidth="1"/>
    <col min="5" max="5" width="20.140625" customWidth="1"/>
    <col min="6" max="6" width="15.5703125" customWidth="1"/>
    <col min="7" max="7" width="13.85546875" customWidth="1"/>
    <col min="8" max="8" width="14.5703125" customWidth="1"/>
    <col min="9" max="9" width="21" customWidth="1"/>
    <col min="10" max="10" width="22" bestFit="1" customWidth="1"/>
  </cols>
  <sheetData>
    <row r="3" spans="2:13" ht="15.75">
      <c r="B3" s="260" t="s">
        <v>71</v>
      </c>
      <c r="C3" s="260"/>
      <c r="D3" s="260"/>
      <c r="E3" s="260"/>
      <c r="F3" s="260"/>
      <c r="G3" s="260"/>
      <c r="H3" s="260"/>
      <c r="I3" s="260"/>
      <c r="J3" s="260"/>
    </row>
    <row r="4" spans="2:13" ht="15.75">
      <c r="B4" s="107"/>
      <c r="C4" s="101"/>
      <c r="D4" s="102"/>
      <c r="E4" s="102"/>
      <c r="F4" s="103"/>
      <c r="G4" s="103"/>
      <c r="H4" s="106"/>
      <c r="I4" s="104"/>
      <c r="J4" s="105"/>
    </row>
    <row r="5" spans="2:13" ht="15.75" customHeight="1">
      <c r="B5" s="264" t="s">
        <v>61</v>
      </c>
      <c r="C5" s="261" t="s">
        <v>62</v>
      </c>
      <c r="D5" s="261" t="s">
        <v>83</v>
      </c>
      <c r="E5" s="261" t="s">
        <v>88</v>
      </c>
      <c r="F5" s="261" t="s">
        <v>87</v>
      </c>
      <c r="G5" s="262" t="s">
        <v>89</v>
      </c>
      <c r="H5" s="262" t="s">
        <v>157</v>
      </c>
      <c r="I5" s="262" t="s">
        <v>33</v>
      </c>
      <c r="J5" s="261" t="s">
        <v>90</v>
      </c>
    </row>
    <row r="6" spans="2:13">
      <c r="B6" s="264"/>
      <c r="C6" s="261"/>
      <c r="D6" s="261"/>
      <c r="E6" s="261"/>
      <c r="F6" s="261"/>
      <c r="G6" s="263"/>
      <c r="H6" s="263"/>
      <c r="I6" s="263"/>
      <c r="J6" s="261"/>
    </row>
    <row r="7" spans="2:13">
      <c r="B7" s="92" t="s">
        <v>63</v>
      </c>
      <c r="C7" s="93">
        <v>3500</v>
      </c>
      <c r="D7" s="94">
        <f>+C7*$C$20</f>
        <v>291.55</v>
      </c>
      <c r="E7" s="95">
        <f t="shared" ref="E7:E14" si="0">318*$C$21</f>
        <v>26.4894</v>
      </c>
      <c r="F7" s="95">
        <f t="shared" ref="F7:F14" si="1">+C7*$C$22</f>
        <v>425.25</v>
      </c>
      <c r="G7" s="95">
        <f>+C7+D7+E7+F7</f>
        <v>4243.2893999999997</v>
      </c>
      <c r="H7" s="95">
        <f>+G7*12</f>
        <v>50919.472799999996</v>
      </c>
      <c r="I7" s="96">
        <v>1</v>
      </c>
      <c r="J7" s="97">
        <f>+H7*I7</f>
        <v>50919.472799999996</v>
      </c>
      <c r="K7" s="30"/>
      <c r="L7" s="30"/>
      <c r="M7" s="30"/>
    </row>
    <row r="8" spans="2:13">
      <c r="B8" s="92" t="s">
        <v>36</v>
      </c>
      <c r="C8" s="93">
        <v>1500</v>
      </c>
      <c r="D8" s="94">
        <f t="shared" ref="D8:D14" si="2">+C8*$C$20</f>
        <v>124.95</v>
      </c>
      <c r="E8" s="95">
        <f t="shared" si="0"/>
        <v>26.4894</v>
      </c>
      <c r="F8" s="95">
        <f t="shared" si="1"/>
        <v>182.25</v>
      </c>
      <c r="G8" s="95">
        <f t="shared" ref="G8:G14" si="3">+C8+D8+E8+F8</f>
        <v>1833.6894</v>
      </c>
      <c r="H8" s="95">
        <f t="shared" ref="H8:H14" si="4">+G8*12</f>
        <v>22004.272799999999</v>
      </c>
      <c r="I8" s="98">
        <v>1</v>
      </c>
      <c r="J8" s="97">
        <f t="shared" ref="J8:J14" si="5">+H8*I8</f>
        <v>22004.272799999999</v>
      </c>
      <c r="K8" s="30"/>
      <c r="L8" s="30"/>
      <c r="M8" s="30"/>
    </row>
    <row r="9" spans="2:13">
      <c r="B9" s="92" t="s">
        <v>35</v>
      </c>
      <c r="C9" s="93">
        <v>900</v>
      </c>
      <c r="D9" s="94">
        <f t="shared" si="2"/>
        <v>74.97</v>
      </c>
      <c r="E9" s="95">
        <f t="shared" si="0"/>
        <v>26.4894</v>
      </c>
      <c r="F9" s="95">
        <f t="shared" si="1"/>
        <v>109.35</v>
      </c>
      <c r="G9" s="95">
        <f t="shared" si="3"/>
        <v>1110.8094000000001</v>
      </c>
      <c r="H9" s="95">
        <f t="shared" si="4"/>
        <v>13329.712800000001</v>
      </c>
      <c r="I9" s="98">
        <v>4</v>
      </c>
      <c r="J9" s="97">
        <f t="shared" si="5"/>
        <v>53318.851200000005</v>
      </c>
    </row>
    <row r="10" spans="2:13">
      <c r="B10" s="92" t="s">
        <v>64</v>
      </c>
      <c r="C10" s="93">
        <v>500</v>
      </c>
      <c r="D10" s="94">
        <f t="shared" si="2"/>
        <v>41.65</v>
      </c>
      <c r="E10" s="95">
        <f t="shared" si="0"/>
        <v>26.4894</v>
      </c>
      <c r="F10" s="95">
        <f t="shared" si="1"/>
        <v>60.75</v>
      </c>
      <c r="G10" s="95">
        <f t="shared" si="3"/>
        <v>628.88940000000002</v>
      </c>
      <c r="H10" s="95">
        <f t="shared" si="4"/>
        <v>7546.6728000000003</v>
      </c>
      <c r="I10" s="98">
        <v>10</v>
      </c>
      <c r="J10" s="97">
        <f t="shared" si="5"/>
        <v>75466.728000000003</v>
      </c>
    </row>
    <row r="11" spans="2:13">
      <c r="B11" s="92" t="s">
        <v>37</v>
      </c>
      <c r="C11" s="93">
        <v>450</v>
      </c>
      <c r="D11" s="94">
        <f t="shared" si="2"/>
        <v>37.484999999999999</v>
      </c>
      <c r="E11" s="95">
        <f t="shared" si="0"/>
        <v>26.4894</v>
      </c>
      <c r="F11" s="95">
        <f t="shared" si="1"/>
        <v>54.674999999999997</v>
      </c>
      <c r="G11" s="95">
        <f t="shared" si="3"/>
        <v>568.64940000000001</v>
      </c>
      <c r="H11" s="95">
        <f t="shared" si="4"/>
        <v>6823.7928000000002</v>
      </c>
      <c r="I11" s="98">
        <v>3</v>
      </c>
      <c r="J11" s="97">
        <f t="shared" si="5"/>
        <v>20471.378400000001</v>
      </c>
    </row>
    <row r="12" spans="2:13">
      <c r="B12" s="92" t="s">
        <v>38</v>
      </c>
      <c r="C12" s="93">
        <v>400</v>
      </c>
      <c r="D12" s="94">
        <f t="shared" si="2"/>
        <v>33.32</v>
      </c>
      <c r="E12" s="95">
        <f t="shared" si="0"/>
        <v>26.4894</v>
      </c>
      <c r="F12" s="95">
        <f t="shared" si="1"/>
        <v>48.6</v>
      </c>
      <c r="G12" s="95">
        <f t="shared" si="3"/>
        <v>508.40940000000001</v>
      </c>
      <c r="H12" s="95">
        <f t="shared" si="4"/>
        <v>6100.9128000000001</v>
      </c>
      <c r="I12" s="98">
        <v>4</v>
      </c>
      <c r="J12" s="97">
        <f t="shared" si="5"/>
        <v>24403.6512</v>
      </c>
    </row>
    <row r="13" spans="2:13">
      <c r="B13" s="92" t="s">
        <v>65</v>
      </c>
      <c r="C13" s="93">
        <v>550</v>
      </c>
      <c r="D13" s="94">
        <f t="shared" si="2"/>
        <v>45.814999999999998</v>
      </c>
      <c r="E13" s="95">
        <f t="shared" si="0"/>
        <v>26.4894</v>
      </c>
      <c r="F13" s="95">
        <f t="shared" si="1"/>
        <v>66.825000000000003</v>
      </c>
      <c r="G13" s="95">
        <f t="shared" si="3"/>
        <v>689.12940000000015</v>
      </c>
      <c r="H13" s="95">
        <f t="shared" si="4"/>
        <v>8269.5528000000013</v>
      </c>
      <c r="I13" s="98">
        <v>2</v>
      </c>
      <c r="J13" s="97">
        <f t="shared" si="5"/>
        <v>16539.105600000003</v>
      </c>
    </row>
    <row r="14" spans="2:13">
      <c r="B14" s="92" t="s">
        <v>34</v>
      </c>
      <c r="C14" s="93">
        <v>1000</v>
      </c>
      <c r="D14" s="94">
        <f t="shared" si="2"/>
        <v>83.3</v>
      </c>
      <c r="E14" s="95">
        <f t="shared" si="0"/>
        <v>26.4894</v>
      </c>
      <c r="F14" s="95">
        <f t="shared" si="1"/>
        <v>121.5</v>
      </c>
      <c r="G14" s="95">
        <f t="shared" si="3"/>
        <v>1231.2893999999999</v>
      </c>
      <c r="H14" s="95">
        <f t="shared" si="4"/>
        <v>14775.4728</v>
      </c>
      <c r="I14" s="98">
        <v>1</v>
      </c>
      <c r="J14" s="97">
        <f t="shared" si="5"/>
        <v>14775.4728</v>
      </c>
    </row>
    <row r="15" spans="2:13">
      <c r="B15" s="108"/>
      <c r="C15" s="109"/>
      <c r="D15" s="110"/>
      <c r="E15" s="110"/>
      <c r="F15" s="109"/>
      <c r="G15" s="109"/>
      <c r="H15" s="109"/>
      <c r="I15" s="109"/>
      <c r="J15" s="111"/>
    </row>
    <row r="16" spans="2:13">
      <c r="B16" s="92" t="s">
        <v>66</v>
      </c>
      <c r="C16" s="93">
        <f>SUM(C7:C15)</f>
        <v>8800</v>
      </c>
      <c r="D16" s="93"/>
      <c r="E16" s="93"/>
      <c r="F16" s="93">
        <f t="shared" ref="F16:I16" si="6">SUM(F7:F15)</f>
        <v>1069.2</v>
      </c>
      <c r="G16" s="93">
        <f>SUM(G7:G15)</f>
        <v>10814.155199999999</v>
      </c>
      <c r="H16" s="93">
        <f t="shared" si="6"/>
        <v>129769.86240000001</v>
      </c>
      <c r="I16" s="99">
        <f t="shared" si="6"/>
        <v>26</v>
      </c>
      <c r="J16" s="100">
        <f>SUM(J7:J15)</f>
        <v>277898.93279999995</v>
      </c>
    </row>
    <row r="17" spans="2:10">
      <c r="B17" s="146"/>
      <c r="C17" s="16"/>
      <c r="D17" s="16"/>
      <c r="E17" s="16"/>
      <c r="F17" s="16"/>
      <c r="G17" s="16"/>
      <c r="H17" s="16"/>
      <c r="I17" s="236"/>
      <c r="J17" s="237"/>
    </row>
    <row r="18" spans="2:10">
      <c r="B18" s="92" t="s">
        <v>165</v>
      </c>
      <c r="C18" s="234">
        <f>+G18/2</f>
        <v>2.4E-2</v>
      </c>
      <c r="D18" s="15"/>
      <c r="E18" s="98" t="s">
        <v>166</v>
      </c>
      <c r="F18" s="98"/>
      <c r="G18" s="112">
        <v>4.8000000000000001E-2</v>
      </c>
      <c r="H18" s="15"/>
      <c r="I18" s="15"/>
      <c r="J18" s="15"/>
    </row>
    <row r="19" spans="2:10">
      <c r="B19" s="92" t="s">
        <v>117</v>
      </c>
      <c r="C19" s="112">
        <v>4.1599999999999998E-2</v>
      </c>
      <c r="D19" s="15"/>
      <c r="E19" s="15"/>
      <c r="F19" s="15"/>
      <c r="G19" s="15"/>
      <c r="H19" s="15"/>
      <c r="I19" s="15"/>
      <c r="J19" s="15"/>
    </row>
    <row r="20" spans="2:10">
      <c r="B20" s="92" t="s">
        <v>85</v>
      </c>
      <c r="C20" s="112">
        <v>8.3299999999999999E-2</v>
      </c>
      <c r="D20" s="15"/>
      <c r="E20" s="15"/>
      <c r="F20" s="15"/>
      <c r="G20" s="15"/>
      <c r="H20" s="15"/>
      <c r="I20" s="15"/>
      <c r="J20" s="15"/>
    </row>
    <row r="21" spans="2:10">
      <c r="B21" s="92" t="s">
        <v>84</v>
      </c>
      <c r="C21" s="112">
        <v>8.3299999999999999E-2</v>
      </c>
      <c r="D21" s="15" t="s">
        <v>86</v>
      </c>
      <c r="E21" s="15"/>
      <c r="F21" s="15"/>
      <c r="G21" s="15"/>
      <c r="H21" s="15"/>
      <c r="I21" s="15"/>
      <c r="J21" s="15"/>
    </row>
    <row r="22" spans="2:10">
      <c r="B22" s="92" t="s">
        <v>87</v>
      </c>
      <c r="C22" s="112">
        <v>0.1215</v>
      </c>
      <c r="D22" s="15"/>
      <c r="E22" s="15"/>
      <c r="F22" s="15"/>
      <c r="G22" s="15"/>
      <c r="H22" s="15"/>
      <c r="I22" s="15"/>
      <c r="J22" s="15"/>
    </row>
    <row r="23" spans="2:10" ht="15.75" thickBot="1">
      <c r="C23" s="34"/>
      <c r="J23" s="37"/>
    </row>
    <row r="24" spans="2:10" ht="15.75">
      <c r="B24" s="257" t="s">
        <v>118</v>
      </c>
      <c r="C24" s="258"/>
      <c r="D24" s="258"/>
      <c r="E24" s="258"/>
      <c r="F24" s="258"/>
      <c r="G24" s="259"/>
      <c r="H24" s="36"/>
      <c r="I24" s="36"/>
      <c r="J24" s="36"/>
    </row>
    <row r="25" spans="2:10" ht="15.75">
      <c r="B25" s="120"/>
      <c r="C25" s="121"/>
      <c r="D25" s="121"/>
      <c r="E25" s="121"/>
      <c r="F25" s="121"/>
      <c r="G25" s="122"/>
      <c r="H25" s="35"/>
      <c r="I25" s="35"/>
      <c r="J25" s="35"/>
    </row>
    <row r="26" spans="2:10">
      <c r="B26" s="115" t="s">
        <v>61</v>
      </c>
      <c r="C26" s="113" t="s">
        <v>75</v>
      </c>
      <c r="D26" s="113" t="s">
        <v>76</v>
      </c>
      <c r="E26" s="113" t="s">
        <v>77</v>
      </c>
      <c r="F26" s="113" t="s">
        <v>78</v>
      </c>
      <c r="G26" s="116" t="s">
        <v>79</v>
      </c>
    </row>
    <row r="27" spans="2:10">
      <c r="B27" s="117" t="s">
        <v>63</v>
      </c>
      <c r="C27" s="114">
        <f>+J7</f>
        <v>50919.472799999996</v>
      </c>
      <c r="D27" s="239">
        <f>+C27*(1+$C$19)+(1+$C$18)</f>
        <v>53038.746868479997</v>
      </c>
      <c r="E27" s="239">
        <f t="shared" ref="E27:G27" si="7">+D27*(1+$C$19)+(1+$C$18)</f>
        <v>55246.182738208765</v>
      </c>
      <c r="F27" s="239">
        <f t="shared" si="7"/>
        <v>57545.447940118254</v>
      </c>
      <c r="G27" s="239">
        <f t="shared" si="7"/>
        <v>59940.362574427178</v>
      </c>
      <c r="I27" s="238"/>
      <c r="J27" s="238"/>
    </row>
    <row r="28" spans="2:10">
      <c r="B28" s="117" t="s">
        <v>36</v>
      </c>
      <c r="C28" s="114">
        <f t="shared" ref="C28:C34" si="8">+J8</f>
        <v>22004.272799999999</v>
      </c>
      <c r="D28" s="239">
        <f>+C28*(1+$C$19)+(1+$C$18)</f>
        <v>22920.674548480001</v>
      </c>
      <c r="E28" s="239">
        <f t="shared" ref="E28:G28" si="9">+D28*(1+$C$19)+(1+$C$18)</f>
        <v>23875.198609696774</v>
      </c>
      <c r="F28" s="239">
        <f t="shared" si="9"/>
        <v>24869.430871860164</v>
      </c>
      <c r="G28" s="239">
        <f t="shared" si="9"/>
        <v>25905.02319612955</v>
      </c>
    </row>
    <row r="29" spans="2:10">
      <c r="B29" s="117" t="s">
        <v>35</v>
      </c>
      <c r="C29" s="114">
        <f t="shared" si="8"/>
        <v>53318.851200000005</v>
      </c>
      <c r="D29" s="239">
        <f t="shared" ref="D29:G34" si="10">+C29*(1+$C$19)+(1+$C$18)</f>
        <v>55537.939409920007</v>
      </c>
      <c r="E29" s="239">
        <f t="shared" si="10"/>
        <v>57849.341689372683</v>
      </c>
      <c r="F29" s="239">
        <f t="shared" si="10"/>
        <v>60256.898303650589</v>
      </c>
      <c r="G29" s="239">
        <f t="shared" si="10"/>
        <v>62764.609273082453</v>
      </c>
    </row>
    <row r="30" spans="2:10">
      <c r="B30" s="117" t="s">
        <v>64</v>
      </c>
      <c r="C30" s="114">
        <f t="shared" si="8"/>
        <v>75466.728000000003</v>
      </c>
      <c r="D30" s="239">
        <f t="shared" si="10"/>
        <v>78607.167884800016</v>
      </c>
      <c r="E30" s="239">
        <f t="shared" si="10"/>
        <v>81878.250068807713</v>
      </c>
      <c r="F30" s="239">
        <f t="shared" si="10"/>
        <v>85285.409271670127</v>
      </c>
      <c r="G30" s="239">
        <f t="shared" si="10"/>
        <v>88834.306297371615</v>
      </c>
    </row>
    <row r="31" spans="2:10">
      <c r="B31" s="117" t="s">
        <v>37</v>
      </c>
      <c r="C31" s="114">
        <f t="shared" si="8"/>
        <v>20471.378400000001</v>
      </c>
      <c r="D31" s="239">
        <f t="shared" si="10"/>
        <v>21324.011741440005</v>
      </c>
      <c r="E31" s="239">
        <f t="shared" si="10"/>
        <v>22212.114629883912</v>
      </c>
      <c r="F31" s="239">
        <f t="shared" si="10"/>
        <v>23137.162598487084</v>
      </c>
      <c r="G31" s="239">
        <f t="shared" si="10"/>
        <v>24100.69256258415</v>
      </c>
    </row>
    <row r="32" spans="2:10">
      <c r="B32" s="117" t="s">
        <v>38</v>
      </c>
      <c r="C32" s="114">
        <f t="shared" si="8"/>
        <v>24403.6512</v>
      </c>
      <c r="D32" s="239">
        <f t="shared" si="10"/>
        <v>25419.867089920004</v>
      </c>
      <c r="E32" s="239">
        <f t="shared" si="10"/>
        <v>26478.357560860681</v>
      </c>
      <c r="F32" s="239">
        <f t="shared" si="10"/>
        <v>27580.881235392488</v>
      </c>
      <c r="G32" s="239">
        <f t="shared" si="10"/>
        <v>28729.269894784818</v>
      </c>
    </row>
    <row r="33" spans="2:10">
      <c r="B33" s="117" t="s">
        <v>65</v>
      </c>
      <c r="C33" s="114">
        <f t="shared" si="8"/>
        <v>16539.105600000003</v>
      </c>
      <c r="D33" s="239">
        <f t="shared" si="10"/>
        <v>17228.156392960005</v>
      </c>
      <c r="E33" s="239">
        <f t="shared" si="10"/>
        <v>17945.871698907144</v>
      </c>
      <c r="F33" s="239">
        <f t="shared" si="10"/>
        <v>18693.443961581685</v>
      </c>
      <c r="G33" s="239">
        <f t="shared" si="10"/>
        <v>19472.115230383486</v>
      </c>
    </row>
    <row r="34" spans="2:10">
      <c r="B34" s="117" t="s">
        <v>34</v>
      </c>
      <c r="C34" s="114">
        <f t="shared" si="8"/>
        <v>14775.4728</v>
      </c>
      <c r="D34" s="239">
        <f t="shared" si="10"/>
        <v>15391.15646848</v>
      </c>
      <c r="E34" s="239">
        <f t="shared" si="10"/>
        <v>16032.452577568769</v>
      </c>
      <c r="F34" s="239">
        <f t="shared" si="10"/>
        <v>16700.426604795633</v>
      </c>
      <c r="G34" s="239">
        <f t="shared" si="10"/>
        <v>17396.188351555134</v>
      </c>
    </row>
    <row r="35" spans="2:10">
      <c r="B35" s="123"/>
      <c r="C35" s="124"/>
      <c r="D35" s="240"/>
      <c r="E35" s="124"/>
      <c r="F35" s="124"/>
      <c r="G35" s="125"/>
    </row>
    <row r="36" spans="2:10" ht="15.75" thickBot="1">
      <c r="B36" s="118" t="s">
        <v>66</v>
      </c>
      <c r="C36" s="119">
        <f>+J16</f>
        <v>277898.93279999995</v>
      </c>
      <c r="D36" s="239">
        <f>+C36*(1+$C$19)+(1+$C$18)</f>
        <v>289460.55240447994</v>
      </c>
      <c r="E36" s="239">
        <f t="shared" ref="E36:G36" si="11">+D36*(1+$C$19)+(1+$C$18)</f>
        <v>301503.13538450631</v>
      </c>
      <c r="F36" s="239">
        <f t="shared" si="11"/>
        <v>314046.68981650175</v>
      </c>
      <c r="G36" s="239">
        <f t="shared" si="11"/>
        <v>327112.05611286825</v>
      </c>
    </row>
    <row r="37" spans="2:10">
      <c r="C37" s="34"/>
    </row>
    <row r="38" spans="2:10" ht="15.75" thickBot="1"/>
    <row r="39" spans="2:10" ht="15.75">
      <c r="B39" s="257" t="s">
        <v>105</v>
      </c>
      <c r="C39" s="258"/>
      <c r="D39" s="258"/>
      <c r="E39" s="258"/>
      <c r="F39" s="258"/>
      <c r="G39" s="258"/>
      <c r="H39" s="259"/>
    </row>
    <row r="40" spans="2:10">
      <c r="B40" s="129"/>
      <c r="C40" s="130"/>
      <c r="D40" s="130"/>
      <c r="E40" s="130"/>
      <c r="F40" s="76"/>
      <c r="G40" s="76"/>
      <c r="H40" s="131"/>
    </row>
    <row r="41" spans="2:10">
      <c r="B41" s="126"/>
      <c r="C41" s="91" t="s">
        <v>67</v>
      </c>
      <c r="D41" s="91" t="s">
        <v>75</v>
      </c>
      <c r="E41" s="91" t="s">
        <v>76</v>
      </c>
      <c r="F41" s="91" t="s">
        <v>77</v>
      </c>
      <c r="G41" s="91" t="s">
        <v>78</v>
      </c>
      <c r="H41" s="127" t="s">
        <v>79</v>
      </c>
    </row>
    <row r="42" spans="2:10">
      <c r="B42" s="126" t="s">
        <v>39</v>
      </c>
      <c r="C42" s="39">
        <v>1500</v>
      </c>
      <c r="D42" s="39">
        <f>+C42*12</f>
        <v>18000</v>
      </c>
      <c r="E42" s="39">
        <f>+D42*(1+$C$53)</f>
        <v>20700</v>
      </c>
      <c r="F42" s="39">
        <f>+E42*(1+$C$54)</f>
        <v>22770.000000000004</v>
      </c>
      <c r="G42" s="39">
        <f t="shared" ref="G42:H42" si="12">+F42*(1+$C$54)</f>
        <v>25047.000000000007</v>
      </c>
      <c r="H42" s="39">
        <f t="shared" si="12"/>
        <v>27551.700000000012</v>
      </c>
    </row>
    <row r="43" spans="2:10">
      <c r="B43" s="126" t="s">
        <v>68</v>
      </c>
      <c r="C43" s="39">
        <v>900</v>
      </c>
      <c r="D43" s="39">
        <f t="shared" ref="D43:D48" si="13">+C43*12</f>
        <v>10800</v>
      </c>
      <c r="E43" s="39">
        <f>+D43*(1+$C$53)</f>
        <v>12419.999999999998</v>
      </c>
      <c r="F43" s="39">
        <f t="shared" ref="F43:H49" si="14">+E43*(1+$C$54)</f>
        <v>13662</v>
      </c>
      <c r="G43" s="39">
        <f t="shared" si="14"/>
        <v>15028.2</v>
      </c>
      <c r="H43" s="39">
        <f t="shared" si="14"/>
        <v>16531.02</v>
      </c>
      <c r="J43" s="37"/>
    </row>
    <row r="44" spans="2:10">
      <c r="B44" s="126" t="s">
        <v>69</v>
      </c>
      <c r="C44" s="39">
        <v>800</v>
      </c>
      <c r="D44" s="39">
        <f t="shared" si="13"/>
        <v>9600</v>
      </c>
      <c r="E44" s="39">
        <f t="shared" ref="E44:E49" si="15">+D44*(1+$C$53)</f>
        <v>11040</v>
      </c>
      <c r="F44" s="39">
        <f t="shared" si="14"/>
        <v>12144.000000000002</v>
      </c>
      <c r="G44" s="39">
        <f t="shared" si="14"/>
        <v>13358.400000000003</v>
      </c>
      <c r="H44" s="39">
        <f t="shared" si="14"/>
        <v>14694.240000000005</v>
      </c>
    </row>
    <row r="45" spans="2:10">
      <c r="B45" s="126" t="s">
        <v>41</v>
      </c>
      <c r="C45" s="39">
        <f>1243000*1.5%/12</f>
        <v>1553.75</v>
      </c>
      <c r="D45" s="39">
        <f t="shared" si="13"/>
        <v>18645</v>
      </c>
      <c r="E45" s="39">
        <f t="shared" si="15"/>
        <v>21441.75</v>
      </c>
      <c r="F45" s="39">
        <f t="shared" si="14"/>
        <v>23585.925000000003</v>
      </c>
      <c r="G45" s="39">
        <f t="shared" si="14"/>
        <v>25944.517500000005</v>
      </c>
      <c r="H45" s="39">
        <f t="shared" si="14"/>
        <v>28538.969250000009</v>
      </c>
    </row>
    <row r="46" spans="2:10">
      <c r="B46" s="126" t="s">
        <v>42</v>
      </c>
      <c r="C46" s="39">
        <v>1500</v>
      </c>
      <c r="D46" s="39">
        <f t="shared" si="13"/>
        <v>18000</v>
      </c>
      <c r="E46" s="39">
        <f t="shared" si="15"/>
        <v>20700</v>
      </c>
      <c r="F46" s="39">
        <f t="shared" si="14"/>
        <v>22770.000000000004</v>
      </c>
      <c r="G46" s="39">
        <f t="shared" si="14"/>
        <v>25047.000000000007</v>
      </c>
      <c r="H46" s="39">
        <f t="shared" si="14"/>
        <v>27551.700000000012</v>
      </c>
    </row>
    <row r="47" spans="2:10">
      <c r="B47" s="126" t="s">
        <v>70</v>
      </c>
      <c r="C47" s="39">
        <v>750</v>
      </c>
      <c r="D47" s="39">
        <f t="shared" si="13"/>
        <v>9000</v>
      </c>
      <c r="E47" s="39">
        <f t="shared" si="15"/>
        <v>10350</v>
      </c>
      <c r="F47" s="39">
        <f t="shared" si="14"/>
        <v>11385.000000000002</v>
      </c>
      <c r="G47" s="39">
        <f t="shared" si="14"/>
        <v>12523.500000000004</v>
      </c>
      <c r="H47" s="39">
        <f t="shared" si="14"/>
        <v>13775.850000000006</v>
      </c>
    </row>
    <row r="48" spans="2:10">
      <c r="B48" s="126" t="s">
        <v>40</v>
      </c>
      <c r="C48" s="39">
        <v>500</v>
      </c>
      <c r="D48" s="39">
        <f t="shared" si="13"/>
        <v>6000</v>
      </c>
      <c r="E48" s="39">
        <f t="shared" si="15"/>
        <v>6899.9999999999991</v>
      </c>
      <c r="F48" s="39">
        <f t="shared" si="14"/>
        <v>7590</v>
      </c>
      <c r="G48" s="39">
        <f t="shared" si="14"/>
        <v>8349</v>
      </c>
      <c r="H48" s="39">
        <f t="shared" si="14"/>
        <v>9183.9000000000015</v>
      </c>
    </row>
    <row r="49" spans="2:8">
      <c r="B49" s="126" t="s">
        <v>150</v>
      </c>
      <c r="C49" s="39">
        <v>-800</v>
      </c>
      <c r="D49" s="39">
        <f t="shared" ref="D49" si="16">+C49*12</f>
        <v>-9600</v>
      </c>
      <c r="E49" s="39">
        <f t="shared" si="15"/>
        <v>-11040</v>
      </c>
      <c r="F49" s="39">
        <f t="shared" si="14"/>
        <v>-12144.000000000002</v>
      </c>
      <c r="G49" s="39">
        <f t="shared" si="14"/>
        <v>-13358.400000000003</v>
      </c>
      <c r="H49" s="39">
        <f t="shared" si="14"/>
        <v>-14694.240000000005</v>
      </c>
    </row>
    <row r="50" spans="2:8">
      <c r="B50" s="132"/>
      <c r="C50" s="133"/>
      <c r="D50" s="134"/>
      <c r="E50" s="134"/>
      <c r="F50" s="135"/>
      <c r="G50" s="134"/>
      <c r="H50" s="136"/>
    </row>
    <row r="51" spans="2:8" ht="15.75" thickBot="1">
      <c r="B51" s="128" t="s">
        <v>66</v>
      </c>
      <c r="C51" s="41">
        <f t="shared" ref="C51:H51" si="17">SUM(C42:C49)</f>
        <v>6703.75</v>
      </c>
      <c r="D51" s="41">
        <f t="shared" si="17"/>
        <v>80445</v>
      </c>
      <c r="E51" s="41">
        <f t="shared" si="17"/>
        <v>92511.75</v>
      </c>
      <c r="F51" s="41">
        <f t="shared" si="17"/>
        <v>101762.925</v>
      </c>
      <c r="G51" s="41">
        <f t="shared" si="17"/>
        <v>111939.21750000001</v>
      </c>
      <c r="H51" s="44">
        <f t="shared" si="17"/>
        <v>123133.13925000005</v>
      </c>
    </row>
    <row r="52" spans="2:8" ht="15.75" thickBot="1">
      <c r="B52" s="15"/>
      <c r="C52" s="15"/>
      <c r="D52" s="15"/>
      <c r="E52" s="15"/>
      <c r="F52" s="15"/>
      <c r="G52" s="15"/>
      <c r="H52" s="15"/>
    </row>
    <row r="53" spans="2:8">
      <c r="B53" s="241" t="s">
        <v>80</v>
      </c>
      <c r="C53" s="243">
        <v>0.15</v>
      </c>
      <c r="D53" s="15"/>
      <c r="E53" s="15"/>
      <c r="F53" s="15"/>
      <c r="G53" s="15"/>
      <c r="H53" s="15"/>
    </row>
    <row r="54" spans="2:8" ht="15.75" thickBot="1">
      <c r="B54" s="242" t="s">
        <v>81</v>
      </c>
      <c r="C54" s="244">
        <v>0.1</v>
      </c>
      <c r="D54" s="15"/>
      <c r="E54" s="15"/>
      <c r="F54" s="15"/>
      <c r="G54" s="15"/>
      <c r="H54" s="15"/>
    </row>
  </sheetData>
  <mergeCells count="12">
    <mergeCell ref="B24:G24"/>
    <mergeCell ref="B39:H39"/>
    <mergeCell ref="B3:J3"/>
    <mergeCell ref="D5:D6"/>
    <mergeCell ref="C5:C6"/>
    <mergeCell ref="E5:E6"/>
    <mergeCell ref="F5:F6"/>
    <mergeCell ref="G5:G6"/>
    <mergeCell ref="H5:H6"/>
    <mergeCell ref="I5:I6"/>
    <mergeCell ref="J5:J6"/>
    <mergeCell ref="B5:B6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3"/>
  <sheetViews>
    <sheetView zoomScale="80" zoomScaleNormal="80" workbookViewId="0">
      <selection activeCell="H33" sqref="B2:H33"/>
    </sheetView>
  </sheetViews>
  <sheetFormatPr baseColWidth="10" defaultRowHeight="15"/>
  <cols>
    <col min="2" max="2" width="53.85546875" customWidth="1"/>
    <col min="3" max="3" width="23.28515625" customWidth="1"/>
    <col min="4" max="4" width="31.7109375" customWidth="1"/>
    <col min="5" max="5" width="15" customWidth="1"/>
    <col min="6" max="6" width="17.42578125" customWidth="1"/>
    <col min="7" max="7" width="15.42578125" bestFit="1" customWidth="1"/>
    <col min="8" max="8" width="16.42578125" bestFit="1" customWidth="1"/>
  </cols>
  <sheetData>
    <row r="1" spans="2:13" ht="15.75" thickBot="1"/>
    <row r="2" spans="2:13">
      <c r="B2" s="267" t="s">
        <v>73</v>
      </c>
      <c r="C2" s="268"/>
      <c r="D2" s="268"/>
      <c r="E2" s="268"/>
      <c r="F2" s="268"/>
      <c r="G2" s="268"/>
      <c r="H2" s="269"/>
    </row>
    <row r="3" spans="2:13">
      <c r="B3" s="123"/>
      <c r="C3" s="146"/>
      <c r="D3" s="76"/>
      <c r="E3" s="76"/>
      <c r="F3" s="76"/>
      <c r="G3" s="76"/>
      <c r="H3" s="131"/>
    </row>
    <row r="4" spans="2:13" ht="60" customHeight="1">
      <c r="B4" s="147" t="s">
        <v>43</v>
      </c>
      <c r="C4" s="138" t="s">
        <v>144</v>
      </c>
      <c r="D4" s="138" t="s">
        <v>145</v>
      </c>
      <c r="E4" s="139" t="s">
        <v>44</v>
      </c>
      <c r="F4" s="139" t="s">
        <v>45</v>
      </c>
      <c r="G4" s="139" t="s">
        <v>56</v>
      </c>
      <c r="H4" s="148" t="s">
        <v>46</v>
      </c>
    </row>
    <row r="5" spans="2:13">
      <c r="B5" s="149" t="s">
        <v>47</v>
      </c>
      <c r="C5" s="141">
        <v>15</v>
      </c>
      <c r="D5" s="140">
        <f>+C5/3</f>
        <v>5</v>
      </c>
      <c r="E5" s="141">
        <f>+C5+D5</f>
        <v>20</v>
      </c>
      <c r="F5" s="142">
        <f>1250</f>
        <v>1250</v>
      </c>
      <c r="G5" s="142">
        <f t="shared" ref="G5:G13" si="0">+F5*E5</f>
        <v>25000</v>
      </c>
      <c r="H5" s="150">
        <f>+G5*12</f>
        <v>300000</v>
      </c>
      <c r="I5" s="33"/>
    </row>
    <row r="6" spans="2:13">
      <c r="B6" s="149" t="s">
        <v>49</v>
      </c>
      <c r="C6" s="141">
        <v>10</v>
      </c>
      <c r="D6" s="140">
        <v>3</v>
      </c>
      <c r="E6" s="141">
        <f t="shared" ref="E6:E13" si="1">+C6+D6</f>
        <v>13</v>
      </c>
      <c r="F6" s="142">
        <v>950</v>
      </c>
      <c r="G6" s="142">
        <f t="shared" si="0"/>
        <v>12350</v>
      </c>
      <c r="H6" s="150">
        <f t="shared" ref="H6:H13" si="2">+G6*12</f>
        <v>148200</v>
      </c>
    </row>
    <row r="7" spans="2:13">
      <c r="B7" s="149" t="s">
        <v>50</v>
      </c>
      <c r="C7" s="141">
        <v>10</v>
      </c>
      <c r="D7" s="140">
        <v>5</v>
      </c>
      <c r="E7" s="141">
        <f t="shared" si="1"/>
        <v>15</v>
      </c>
      <c r="F7" s="142">
        <v>350</v>
      </c>
      <c r="G7" s="142">
        <f t="shared" si="0"/>
        <v>5250</v>
      </c>
      <c r="H7" s="150">
        <f t="shared" si="2"/>
        <v>63000</v>
      </c>
    </row>
    <row r="8" spans="2:13">
      <c r="B8" s="151" t="s">
        <v>51</v>
      </c>
      <c r="C8" s="144">
        <v>15</v>
      </c>
      <c r="D8" s="143">
        <v>5</v>
      </c>
      <c r="E8" s="144">
        <f t="shared" si="1"/>
        <v>20</v>
      </c>
      <c r="F8" s="145">
        <v>1500</v>
      </c>
      <c r="G8" s="145">
        <f t="shared" si="0"/>
        <v>30000</v>
      </c>
      <c r="H8" s="152">
        <f t="shared" si="2"/>
        <v>360000</v>
      </c>
    </row>
    <row r="9" spans="2:13">
      <c r="B9" s="149" t="s">
        <v>52</v>
      </c>
      <c r="C9" s="141">
        <v>10</v>
      </c>
      <c r="D9" s="140">
        <v>3</v>
      </c>
      <c r="E9" s="141">
        <f t="shared" si="1"/>
        <v>13</v>
      </c>
      <c r="F9" s="142">
        <v>550</v>
      </c>
      <c r="G9" s="142">
        <f t="shared" si="0"/>
        <v>7150</v>
      </c>
      <c r="H9" s="150">
        <f t="shared" si="2"/>
        <v>85800</v>
      </c>
      <c r="L9" s="30"/>
      <c r="M9" s="30"/>
    </row>
    <row r="10" spans="2:13">
      <c r="B10" s="149" t="s">
        <v>48</v>
      </c>
      <c r="C10" s="141">
        <v>20</v>
      </c>
      <c r="D10" s="140">
        <v>6</v>
      </c>
      <c r="E10" s="141">
        <f t="shared" si="1"/>
        <v>26</v>
      </c>
      <c r="F10" s="142">
        <v>400</v>
      </c>
      <c r="G10" s="142">
        <f t="shared" si="0"/>
        <v>10400</v>
      </c>
      <c r="H10" s="150">
        <f t="shared" si="2"/>
        <v>124800</v>
      </c>
      <c r="L10" s="30"/>
      <c r="M10" s="30"/>
    </row>
    <row r="11" spans="2:13">
      <c r="B11" s="149" t="s">
        <v>53</v>
      </c>
      <c r="C11" s="141">
        <v>15</v>
      </c>
      <c r="D11" s="140">
        <v>5</v>
      </c>
      <c r="E11" s="141">
        <f t="shared" si="1"/>
        <v>20</v>
      </c>
      <c r="F11" s="142">
        <v>450</v>
      </c>
      <c r="G11" s="142">
        <f t="shared" si="0"/>
        <v>9000</v>
      </c>
      <c r="H11" s="150">
        <f t="shared" si="2"/>
        <v>108000</v>
      </c>
      <c r="L11" s="30"/>
      <c r="M11" s="30"/>
    </row>
    <row r="12" spans="2:13">
      <c r="B12" s="149" t="s">
        <v>54</v>
      </c>
      <c r="C12" s="141">
        <v>20</v>
      </c>
      <c r="D12" s="140">
        <v>7</v>
      </c>
      <c r="E12" s="141">
        <f t="shared" si="1"/>
        <v>27</v>
      </c>
      <c r="F12" s="142">
        <v>900</v>
      </c>
      <c r="G12" s="142">
        <f t="shared" si="0"/>
        <v>24300</v>
      </c>
      <c r="H12" s="150">
        <f t="shared" si="2"/>
        <v>291600</v>
      </c>
      <c r="L12" s="30"/>
      <c r="M12" s="30"/>
    </row>
    <row r="13" spans="2:13">
      <c r="B13" s="149" t="s">
        <v>55</v>
      </c>
      <c r="C13" s="141">
        <v>30</v>
      </c>
      <c r="D13" s="140">
        <v>10</v>
      </c>
      <c r="E13" s="141">
        <f t="shared" si="1"/>
        <v>40</v>
      </c>
      <c r="F13" s="142">
        <v>220</v>
      </c>
      <c r="G13" s="142">
        <f t="shared" si="0"/>
        <v>8800</v>
      </c>
      <c r="H13" s="150">
        <f t="shared" si="2"/>
        <v>105600</v>
      </c>
      <c r="L13" s="30"/>
      <c r="M13" s="30"/>
    </row>
    <row r="14" spans="2:13">
      <c r="B14" s="123"/>
      <c r="C14" s="76"/>
      <c r="D14" s="76"/>
      <c r="E14" s="76"/>
      <c r="F14" s="76"/>
      <c r="G14" s="76"/>
      <c r="H14" s="131"/>
      <c r="L14" s="30"/>
      <c r="M14" s="30"/>
    </row>
    <row r="15" spans="2:13" ht="15.75" thickBot="1">
      <c r="B15" s="153" t="s">
        <v>82</v>
      </c>
      <c r="C15" s="154">
        <f t="shared" ref="C15:D15" si="3">SUM(C5:C13)</f>
        <v>145</v>
      </c>
      <c r="D15" s="154">
        <f t="shared" si="3"/>
        <v>49</v>
      </c>
      <c r="E15" s="154">
        <f>SUM(E5:E13)</f>
        <v>194</v>
      </c>
      <c r="F15" s="155"/>
      <c r="G15" s="156">
        <f>SUM(G5:G13)</f>
        <v>132250</v>
      </c>
      <c r="H15" s="157">
        <f>+G15*12</f>
        <v>1587000</v>
      </c>
      <c r="L15" s="30"/>
      <c r="M15" s="30"/>
    </row>
    <row r="16" spans="2:13">
      <c r="B16" s="15"/>
      <c r="C16" s="15"/>
      <c r="D16" s="15"/>
      <c r="E16" s="15"/>
      <c r="F16" s="15"/>
      <c r="G16" s="15"/>
      <c r="H16" s="15"/>
      <c r="L16" s="30"/>
      <c r="M16" s="30"/>
    </row>
    <row r="17" spans="1:13" ht="15.75" thickBot="1">
      <c r="B17" s="15"/>
      <c r="C17" s="15"/>
      <c r="D17" s="15"/>
      <c r="E17" s="15"/>
      <c r="F17" s="15"/>
      <c r="G17" s="15"/>
      <c r="H17" s="15"/>
      <c r="L17" s="30"/>
      <c r="M17" s="30"/>
    </row>
    <row r="18" spans="1:13">
      <c r="B18" s="265" t="s">
        <v>72</v>
      </c>
      <c r="C18" s="158">
        <v>0.6</v>
      </c>
      <c r="D18" s="159" t="s">
        <v>147</v>
      </c>
      <c r="E18" s="15"/>
      <c r="F18" s="15"/>
      <c r="G18" s="15"/>
      <c r="H18" s="15"/>
    </row>
    <row r="19" spans="1:13" ht="15.75" thickBot="1">
      <c r="B19" s="266"/>
      <c r="C19" s="160">
        <f>+(1-C18)</f>
        <v>0.4</v>
      </c>
      <c r="D19" s="161" t="s">
        <v>148</v>
      </c>
      <c r="E19" s="15"/>
      <c r="F19" s="15"/>
      <c r="G19" s="15"/>
      <c r="H19" s="15"/>
    </row>
    <row r="20" spans="1:13" ht="15.75" thickBot="1">
      <c r="H20" s="15"/>
    </row>
    <row r="21" spans="1:13">
      <c r="B21" s="270" t="s">
        <v>160</v>
      </c>
      <c r="C21" s="271"/>
      <c r="D21" s="271"/>
      <c r="E21" s="271"/>
      <c r="F21" s="271"/>
      <c r="G21" s="272"/>
      <c r="H21" s="15"/>
    </row>
    <row r="22" spans="1:13">
      <c r="B22" s="167"/>
      <c r="C22" s="168"/>
      <c r="D22" s="168"/>
      <c r="E22" s="168"/>
      <c r="F22" s="168"/>
      <c r="G22" s="169"/>
      <c r="H22" s="15"/>
    </row>
    <row r="23" spans="1:13">
      <c r="B23" s="163"/>
      <c r="C23" s="137" t="s">
        <v>75</v>
      </c>
      <c r="D23" s="137" t="s">
        <v>76</v>
      </c>
      <c r="E23" s="137" t="s">
        <v>77</v>
      </c>
      <c r="F23" s="137" t="s">
        <v>78</v>
      </c>
      <c r="G23" s="164" t="s">
        <v>79</v>
      </c>
      <c r="H23" s="15"/>
    </row>
    <row r="24" spans="1:13">
      <c r="B24" s="126" t="s">
        <v>59</v>
      </c>
      <c r="C24" s="162">
        <f>+E15*12</f>
        <v>2328</v>
      </c>
      <c r="D24" s="162">
        <f>+C24*(1+$C$29)</f>
        <v>2677.2</v>
      </c>
      <c r="E24" s="162">
        <f>+D24*(1+$C$30)</f>
        <v>2944.92</v>
      </c>
      <c r="F24" s="162">
        <f t="shared" ref="E24:G26" si="4">+E24*(1+$C$30)</f>
        <v>3239.4120000000003</v>
      </c>
      <c r="G24" s="165">
        <f t="shared" si="4"/>
        <v>3563.3532000000005</v>
      </c>
      <c r="H24" s="15"/>
    </row>
    <row r="25" spans="1:13" s="54" customFormat="1">
      <c r="A25"/>
      <c r="B25" s="126" t="s">
        <v>57</v>
      </c>
      <c r="C25" s="39">
        <f>+H15</f>
        <v>1587000</v>
      </c>
      <c r="D25" s="39">
        <f>+C25*(1+$C$29)</f>
        <v>1825049.9999999998</v>
      </c>
      <c r="E25" s="39">
        <f t="shared" si="4"/>
        <v>2007555</v>
      </c>
      <c r="F25" s="39">
        <f t="shared" si="4"/>
        <v>2208310.5</v>
      </c>
      <c r="G25" s="42">
        <f t="shared" si="4"/>
        <v>2429141.5500000003</v>
      </c>
      <c r="H25" s="46"/>
    </row>
    <row r="26" spans="1:13" s="54" customFormat="1">
      <c r="A26"/>
      <c r="B26" s="126" t="s">
        <v>58</v>
      </c>
      <c r="C26" s="39">
        <f>+C25*60%</f>
        <v>952200</v>
      </c>
      <c r="D26" s="39">
        <f>+C26*(1+$C$29)</f>
        <v>1095030</v>
      </c>
      <c r="E26" s="39">
        <f t="shared" si="4"/>
        <v>1204533</v>
      </c>
      <c r="F26" s="39">
        <f t="shared" si="4"/>
        <v>1324986.3</v>
      </c>
      <c r="G26" s="42">
        <f t="shared" si="4"/>
        <v>1457484.9300000002</v>
      </c>
      <c r="H26" s="46"/>
    </row>
    <row r="27" spans="1:13" s="54" customFormat="1" ht="15.75" thickBot="1">
      <c r="A27"/>
      <c r="B27" s="166" t="s">
        <v>74</v>
      </c>
      <c r="C27" s="41">
        <f>+C25-C26</f>
        <v>634800</v>
      </c>
      <c r="D27" s="41">
        <f t="shared" ref="D27:G27" si="5">+D25-D26</f>
        <v>730019.99999999977</v>
      </c>
      <c r="E27" s="41">
        <f t="shared" si="5"/>
        <v>803022</v>
      </c>
      <c r="F27" s="41">
        <f t="shared" si="5"/>
        <v>883324.2</v>
      </c>
      <c r="G27" s="44">
        <f t="shared" si="5"/>
        <v>971656.62000000011</v>
      </c>
      <c r="H27" s="46"/>
    </row>
    <row r="28" spans="1:13" ht="15.75" thickBot="1">
      <c r="D28" s="15"/>
      <c r="E28" s="15"/>
      <c r="F28" s="15"/>
      <c r="G28" s="15"/>
      <c r="H28" s="15"/>
    </row>
    <row r="29" spans="1:13">
      <c r="B29" s="170" t="s">
        <v>80</v>
      </c>
      <c r="C29" s="171">
        <v>0.15</v>
      </c>
      <c r="D29" s="15"/>
      <c r="E29" s="15"/>
      <c r="F29" s="15"/>
      <c r="G29" s="15"/>
      <c r="H29" s="15"/>
    </row>
    <row r="30" spans="1:13" ht="15.75" thickBot="1">
      <c r="B30" s="172" t="s">
        <v>81</v>
      </c>
      <c r="C30" s="173">
        <v>0.1</v>
      </c>
      <c r="D30" s="15"/>
      <c r="E30" s="180"/>
      <c r="F30" s="15"/>
      <c r="G30" s="15"/>
      <c r="H30" s="15"/>
    </row>
    <row r="31" spans="1:13" ht="15.75" thickBot="1">
      <c r="B31" s="15"/>
      <c r="C31" s="15"/>
      <c r="D31" s="15"/>
      <c r="E31" s="15"/>
      <c r="F31" s="15"/>
      <c r="G31" s="15"/>
      <c r="H31" s="15"/>
    </row>
    <row r="32" spans="1:13">
      <c r="B32" s="174" t="s">
        <v>158</v>
      </c>
      <c r="C32" s="175" t="s">
        <v>159</v>
      </c>
      <c r="D32" s="176" t="s">
        <v>46</v>
      </c>
      <c r="E32" s="15"/>
      <c r="F32" s="15"/>
      <c r="G32" s="15"/>
      <c r="H32" s="15"/>
    </row>
    <row r="33" spans="2:8" ht="15.75" thickBot="1">
      <c r="B33" s="177" t="s">
        <v>161</v>
      </c>
      <c r="C33" s="178">
        <v>20000</v>
      </c>
      <c r="D33" s="179">
        <f>+C33*12</f>
        <v>240000</v>
      </c>
      <c r="E33" s="15"/>
      <c r="F33" s="15"/>
      <c r="G33" s="15"/>
      <c r="H33" s="15"/>
    </row>
  </sheetData>
  <mergeCells count="3">
    <mergeCell ref="B18:B19"/>
    <mergeCell ref="B2:H2"/>
    <mergeCell ref="B21:G2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L11"/>
  <sheetViews>
    <sheetView zoomScale="80" zoomScaleNormal="80" workbookViewId="0">
      <selection activeCell="B3" sqref="B3:L11"/>
    </sheetView>
  </sheetViews>
  <sheetFormatPr baseColWidth="10" defaultRowHeight="15"/>
  <cols>
    <col min="2" max="2" width="32" bestFit="1" customWidth="1"/>
    <col min="3" max="3" width="12.140625" bestFit="1" customWidth="1"/>
    <col min="4" max="4" width="13.85546875" bestFit="1" customWidth="1"/>
    <col min="5" max="5" width="16.28515625" bestFit="1" customWidth="1"/>
    <col min="6" max="6" width="18.42578125" bestFit="1" customWidth="1"/>
    <col min="7" max="7" width="20.5703125" bestFit="1" customWidth="1"/>
    <col min="8" max="8" width="16.42578125" customWidth="1"/>
    <col min="9" max="12" width="13" bestFit="1" customWidth="1"/>
  </cols>
  <sheetData>
    <row r="2" spans="2:12" ht="15.75" thickBot="1"/>
    <row r="3" spans="2:12" ht="14.45" customHeight="1">
      <c r="B3" s="270" t="s">
        <v>121</v>
      </c>
      <c r="C3" s="271"/>
      <c r="D3" s="271"/>
      <c r="E3" s="271"/>
      <c r="F3" s="271"/>
      <c r="G3" s="271"/>
      <c r="H3" s="271"/>
      <c r="I3" s="271"/>
      <c r="J3" s="271"/>
      <c r="K3" s="271"/>
      <c r="L3" s="272"/>
    </row>
    <row r="4" spans="2:12">
      <c r="B4" s="196"/>
      <c r="C4" s="197"/>
      <c r="D4" s="197"/>
      <c r="E4" s="197"/>
      <c r="F4" s="197"/>
      <c r="G4" s="197"/>
      <c r="H4" s="197"/>
      <c r="I4" s="197"/>
      <c r="J4" s="197"/>
      <c r="K4" s="197"/>
      <c r="L4" s="198"/>
    </row>
    <row r="5" spans="2:12">
      <c r="B5" s="123"/>
      <c r="C5" s="76"/>
      <c r="D5" s="76"/>
      <c r="E5" s="76"/>
      <c r="F5" s="76"/>
      <c r="G5" s="76"/>
      <c r="H5" s="273" t="s">
        <v>125</v>
      </c>
      <c r="I5" s="274"/>
      <c r="J5" s="274"/>
      <c r="K5" s="274"/>
      <c r="L5" s="275"/>
    </row>
    <row r="6" spans="2:12">
      <c r="B6" s="147" t="s">
        <v>122</v>
      </c>
      <c r="C6" s="137" t="s">
        <v>123</v>
      </c>
      <c r="D6" s="137" t="s">
        <v>139</v>
      </c>
      <c r="E6" s="137" t="s">
        <v>140</v>
      </c>
      <c r="F6" s="137" t="s">
        <v>141</v>
      </c>
      <c r="G6" s="137" t="s">
        <v>124</v>
      </c>
      <c r="H6" s="182">
        <v>1</v>
      </c>
      <c r="I6" s="182">
        <v>2</v>
      </c>
      <c r="J6" s="182">
        <v>3</v>
      </c>
      <c r="K6" s="182">
        <v>4</v>
      </c>
      <c r="L6" s="187">
        <v>5</v>
      </c>
    </row>
    <row r="7" spans="2:12">
      <c r="B7" s="188" t="s">
        <v>8</v>
      </c>
      <c r="C7" s="183">
        <f>+INVERSION!D26</f>
        <v>360000</v>
      </c>
      <c r="D7" s="183">
        <f>+C7*15%</f>
        <v>54000</v>
      </c>
      <c r="E7" s="183">
        <f>+C7-D7</f>
        <v>306000</v>
      </c>
      <c r="F7" s="184">
        <v>5</v>
      </c>
      <c r="G7" s="185">
        <f>100%/F7</f>
        <v>0.2</v>
      </c>
      <c r="H7" s="183">
        <f>+E7*G7</f>
        <v>61200</v>
      </c>
      <c r="I7" s="186">
        <f>+H7</f>
        <v>61200</v>
      </c>
      <c r="J7" s="186">
        <f t="shared" ref="J7:L7" si="0">+I7</f>
        <v>61200</v>
      </c>
      <c r="K7" s="186">
        <f t="shared" si="0"/>
        <v>61200</v>
      </c>
      <c r="L7" s="189">
        <f t="shared" si="0"/>
        <v>61200</v>
      </c>
    </row>
    <row r="8" spans="2:12">
      <c r="B8" s="188" t="s">
        <v>31</v>
      </c>
      <c r="C8" s="183">
        <f>+INVERSION!D27</f>
        <v>56000</v>
      </c>
      <c r="D8" s="183">
        <f>+C8*15%</f>
        <v>8400</v>
      </c>
      <c r="E8" s="183">
        <f t="shared" ref="E8:E9" si="1">+C8-D8</f>
        <v>47600</v>
      </c>
      <c r="F8" s="184">
        <v>5</v>
      </c>
      <c r="G8" s="185">
        <f t="shared" ref="G8:G9" si="2">100%/F8</f>
        <v>0.2</v>
      </c>
      <c r="H8" s="183">
        <f t="shared" ref="H8:H9" si="3">+E8*G8</f>
        <v>9520</v>
      </c>
      <c r="I8" s="186">
        <f t="shared" ref="I8:L9" si="4">+H8</f>
        <v>9520</v>
      </c>
      <c r="J8" s="186">
        <f t="shared" si="4"/>
        <v>9520</v>
      </c>
      <c r="K8" s="186">
        <f t="shared" si="4"/>
        <v>9520</v>
      </c>
      <c r="L8" s="189">
        <f t="shared" si="4"/>
        <v>9520</v>
      </c>
    </row>
    <row r="9" spans="2:12">
      <c r="B9" s="188" t="s">
        <v>26</v>
      </c>
      <c r="C9" s="183">
        <f>+INVERSION!D28</f>
        <v>80000</v>
      </c>
      <c r="D9" s="183">
        <f t="shared" ref="D9" si="5">+C9*15%</f>
        <v>12000</v>
      </c>
      <c r="E9" s="183">
        <f t="shared" si="1"/>
        <v>68000</v>
      </c>
      <c r="F9" s="184">
        <v>5</v>
      </c>
      <c r="G9" s="185">
        <f t="shared" si="2"/>
        <v>0.2</v>
      </c>
      <c r="H9" s="183">
        <f t="shared" si="3"/>
        <v>13600</v>
      </c>
      <c r="I9" s="186">
        <f t="shared" si="4"/>
        <v>13600</v>
      </c>
      <c r="J9" s="186">
        <f t="shared" si="4"/>
        <v>13600</v>
      </c>
      <c r="K9" s="186">
        <f t="shared" si="4"/>
        <v>13600</v>
      </c>
      <c r="L9" s="189">
        <f t="shared" si="4"/>
        <v>13600</v>
      </c>
    </row>
    <row r="10" spans="2:12">
      <c r="B10" s="123"/>
      <c r="C10" s="76"/>
      <c r="D10" s="76"/>
      <c r="E10" s="76"/>
      <c r="F10" s="76"/>
      <c r="G10" s="76"/>
      <c r="H10" s="199"/>
      <c r="I10" s="199"/>
      <c r="J10" s="199"/>
      <c r="K10" s="199"/>
      <c r="L10" s="200"/>
    </row>
    <row r="11" spans="2:12" ht="15.75" thickBot="1">
      <c r="B11" s="190" t="s">
        <v>66</v>
      </c>
      <c r="C11" s="191">
        <f>SUM(C7:C10)</f>
        <v>496000</v>
      </c>
      <c r="D11" s="192"/>
      <c r="E11" s="192"/>
      <c r="F11" s="192"/>
      <c r="G11" s="193"/>
      <c r="H11" s="194">
        <f>SUM(H7:H9)</f>
        <v>84320</v>
      </c>
      <c r="I11" s="194">
        <f t="shared" ref="I11:L11" si="6">SUM(I7:I9)</f>
        <v>84320</v>
      </c>
      <c r="J11" s="194">
        <f t="shared" si="6"/>
        <v>84320</v>
      </c>
      <c r="K11" s="194">
        <f t="shared" si="6"/>
        <v>84320</v>
      </c>
      <c r="L11" s="195">
        <f t="shared" si="6"/>
        <v>84320</v>
      </c>
    </row>
  </sheetData>
  <mergeCells count="2">
    <mergeCell ref="H5:L5"/>
    <mergeCell ref="B3:L3"/>
  </mergeCells>
  <pageMargins left="0.7" right="0.7" top="0.75" bottom="0.75" header="0.3" footer="0.3"/>
  <pageSetup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>
  <dimension ref="B2:J61"/>
  <sheetViews>
    <sheetView topLeftCell="A35" zoomScale="90" zoomScaleNormal="90" workbookViewId="0">
      <selection activeCell="E53" sqref="E53"/>
    </sheetView>
  </sheetViews>
  <sheetFormatPr baseColWidth="10" defaultRowHeight="15"/>
  <cols>
    <col min="1" max="1" width="3.42578125" customWidth="1"/>
    <col min="2" max="2" width="42" bestFit="1" customWidth="1"/>
    <col min="3" max="3" width="24.42578125" bestFit="1" customWidth="1"/>
    <col min="4" max="4" width="15.42578125" bestFit="1" customWidth="1"/>
    <col min="5" max="8" width="16" bestFit="1" customWidth="1"/>
    <col min="9" max="9" width="12.5703125" bestFit="1" customWidth="1"/>
  </cols>
  <sheetData>
    <row r="2" spans="2:10" ht="15.75" thickBot="1"/>
    <row r="3" spans="2:10">
      <c r="B3" s="204" t="s">
        <v>91</v>
      </c>
      <c r="C3" s="205"/>
      <c r="D3" s="205"/>
      <c r="E3" s="205"/>
      <c r="F3" s="205"/>
      <c r="G3" s="205"/>
      <c r="H3" s="206"/>
      <c r="I3" s="55"/>
      <c r="J3" s="55"/>
    </row>
    <row r="4" spans="2:10">
      <c r="B4" s="123"/>
      <c r="C4" s="76"/>
      <c r="D4" s="76"/>
      <c r="E4" s="76"/>
      <c r="F4" s="76"/>
      <c r="G4" s="76"/>
      <c r="H4" s="131"/>
    </row>
    <row r="5" spans="2:10">
      <c r="B5" s="123"/>
      <c r="C5" s="264" t="s">
        <v>102</v>
      </c>
      <c r="D5" s="264"/>
      <c r="E5" s="264"/>
      <c r="F5" s="264"/>
      <c r="G5" s="264"/>
      <c r="H5" s="276"/>
      <c r="I5" s="38"/>
      <c r="J5" s="38"/>
    </row>
    <row r="6" spans="2:10">
      <c r="B6" s="123"/>
      <c r="C6" s="181">
        <v>0</v>
      </c>
      <c r="D6" s="181">
        <v>1</v>
      </c>
      <c r="E6" s="181">
        <v>2</v>
      </c>
      <c r="F6" s="181">
        <v>3</v>
      </c>
      <c r="G6" s="181">
        <v>4</v>
      </c>
      <c r="H6" s="225">
        <v>5</v>
      </c>
    </row>
    <row r="7" spans="2:10">
      <c r="B7" s="207" t="s">
        <v>103</v>
      </c>
      <c r="C7" s="208"/>
      <c r="D7" s="209"/>
      <c r="E7" s="209"/>
      <c r="F7" s="209"/>
      <c r="G7" s="209"/>
      <c r="H7" s="210"/>
    </row>
    <row r="8" spans="2:10">
      <c r="B8" s="226" t="s">
        <v>142</v>
      </c>
      <c r="C8" s="220"/>
      <c r="D8" s="221">
        <f>+'PRESUP. INGRESOS'!C25</f>
        <v>1587000</v>
      </c>
      <c r="E8" s="221">
        <f>+'PRESUP. INGRESOS'!D25</f>
        <v>1825049.9999999998</v>
      </c>
      <c r="F8" s="221">
        <f>+'PRESUP. INGRESOS'!E25</f>
        <v>2007555</v>
      </c>
      <c r="G8" s="221">
        <f>+'PRESUP. INGRESOS'!F25</f>
        <v>2208310.5</v>
      </c>
      <c r="H8" s="227">
        <f>+'PRESUP. INGRESOS'!G25</f>
        <v>2429141.5500000003</v>
      </c>
    </row>
    <row r="9" spans="2:10">
      <c r="B9" s="226" t="s">
        <v>143</v>
      </c>
      <c r="C9" s="220"/>
      <c r="D9" s="221">
        <f>20000*12</f>
        <v>240000</v>
      </c>
      <c r="E9" s="221">
        <f>+D9*(1+'PRESUP. INGRESOS'!C29)</f>
        <v>276000</v>
      </c>
      <c r="F9" s="221">
        <f>+E9*(1+'PRESUP. INGRESOS'!$C$30)</f>
        <v>303600</v>
      </c>
      <c r="G9" s="221">
        <f>+F9*(1+'PRESUP. INGRESOS'!$C$30)</f>
        <v>333960</v>
      </c>
      <c r="H9" s="227">
        <f>+G9*(1+'PRESUP. INGRESOS'!$C$30)</f>
        <v>367356.00000000006</v>
      </c>
      <c r="I9" s="54"/>
    </row>
    <row r="10" spans="2:10">
      <c r="B10" s="228" t="s">
        <v>146</v>
      </c>
      <c r="C10" s="220"/>
      <c r="D10" s="222">
        <f>+SUM(D8:D9)</f>
        <v>1827000</v>
      </c>
      <c r="E10" s="222">
        <f>+SUM(E8:E9)</f>
        <v>2101050</v>
      </c>
      <c r="F10" s="222">
        <f>+SUM(F8:F9)</f>
        <v>2311155</v>
      </c>
      <c r="G10" s="222">
        <f>+SUM(G8:G9)</f>
        <v>2542270.5</v>
      </c>
      <c r="H10" s="229">
        <f>+SUM(H8:H9)</f>
        <v>2796497.5500000003</v>
      </c>
    </row>
    <row r="11" spans="2:10">
      <c r="B11" s="214"/>
      <c r="C11" s="209"/>
      <c r="D11" s="211"/>
      <c r="E11" s="211"/>
      <c r="F11" s="211"/>
      <c r="G11" s="211"/>
      <c r="H11" s="212"/>
    </row>
    <row r="12" spans="2:10">
      <c r="B12" s="147" t="s">
        <v>149</v>
      </c>
      <c r="C12" s="208"/>
      <c r="D12" s="209"/>
      <c r="E12" s="209"/>
      <c r="F12" s="209"/>
      <c r="G12" s="209"/>
      <c r="H12" s="210"/>
    </row>
    <row r="13" spans="2:10">
      <c r="B13" s="226" t="s">
        <v>142</v>
      </c>
      <c r="C13" s="220"/>
      <c r="D13" s="221">
        <f>+D8*'PRESUP. INGRESOS'!$C$18</f>
        <v>952200</v>
      </c>
      <c r="E13" s="221">
        <f>+E8*'PRESUP. INGRESOS'!$C$18</f>
        <v>1095029.9999999998</v>
      </c>
      <c r="F13" s="221">
        <f>+F8*'PRESUP. INGRESOS'!$C$18</f>
        <v>1204533</v>
      </c>
      <c r="G13" s="221">
        <f>+G8*'PRESUP. INGRESOS'!$C$18</f>
        <v>1324986.3</v>
      </c>
      <c r="H13" s="227">
        <f>+H8*'PRESUP. INGRESOS'!$C$18</f>
        <v>1457484.9300000002</v>
      </c>
    </row>
    <row r="14" spans="2:10">
      <c r="B14" s="226" t="s">
        <v>143</v>
      </c>
      <c r="C14" s="220"/>
      <c r="D14" s="221">
        <f>+D9*0.7</f>
        <v>168000</v>
      </c>
      <c r="E14" s="221">
        <f t="shared" ref="E14:H14" si="0">+E9*0.7</f>
        <v>193200</v>
      </c>
      <c r="F14" s="221">
        <f t="shared" si="0"/>
        <v>212520</v>
      </c>
      <c r="G14" s="221">
        <f t="shared" si="0"/>
        <v>233771.99999999997</v>
      </c>
      <c r="H14" s="227">
        <f t="shared" si="0"/>
        <v>257149.2</v>
      </c>
      <c r="I14" s="54"/>
    </row>
    <row r="15" spans="2:10">
      <c r="B15" s="228" t="s">
        <v>151</v>
      </c>
      <c r="C15" s="220"/>
      <c r="D15" s="222">
        <f>+SUM(D13:D14)</f>
        <v>1120200</v>
      </c>
      <c r="E15" s="222">
        <f>+SUM(E13:E14)</f>
        <v>1288229.9999999998</v>
      </c>
      <c r="F15" s="222">
        <f>+SUM(F13:F14)</f>
        <v>1417053</v>
      </c>
      <c r="G15" s="222">
        <f>+SUM(G13:G14)</f>
        <v>1558758.3</v>
      </c>
      <c r="H15" s="229">
        <f>+SUM(H13:H14)</f>
        <v>1714634.1300000001</v>
      </c>
    </row>
    <row r="16" spans="2:10">
      <c r="B16" s="214"/>
      <c r="C16" s="209"/>
      <c r="D16" s="211"/>
      <c r="E16" s="211"/>
      <c r="F16" s="211"/>
      <c r="G16" s="211"/>
      <c r="H16" s="212"/>
    </row>
    <row r="17" spans="2:8">
      <c r="B17" s="147" t="s">
        <v>104</v>
      </c>
      <c r="C17" s="220"/>
      <c r="D17" s="222">
        <f>+D10-D15</f>
        <v>706800</v>
      </c>
      <c r="E17" s="222">
        <f t="shared" ref="E17:H17" si="1">+E10-E15</f>
        <v>812820.00000000023</v>
      </c>
      <c r="F17" s="222">
        <f t="shared" si="1"/>
        <v>894102</v>
      </c>
      <c r="G17" s="222">
        <f t="shared" si="1"/>
        <v>983512.2</v>
      </c>
      <c r="H17" s="229">
        <f t="shared" si="1"/>
        <v>1081863.4200000002</v>
      </c>
    </row>
    <row r="18" spans="2:8">
      <c r="B18" s="214"/>
      <c r="C18" s="209"/>
      <c r="D18" s="211"/>
      <c r="E18" s="211"/>
      <c r="F18" s="211"/>
      <c r="G18" s="211"/>
      <c r="H18" s="212"/>
    </row>
    <row r="19" spans="2:8">
      <c r="B19" s="147" t="s">
        <v>71</v>
      </c>
      <c r="C19" s="220"/>
      <c r="D19" s="222">
        <f>+'GASTOS ADMINISTRATIVOS Y OPERAT'!C36</f>
        <v>277898.93279999995</v>
      </c>
      <c r="E19" s="222">
        <f>+'GASTOS ADMINISTRATIVOS Y OPERAT'!D36</f>
        <v>289460.55240447994</v>
      </c>
      <c r="F19" s="222">
        <f>+'GASTOS ADMINISTRATIVOS Y OPERAT'!E36</f>
        <v>301503.13538450631</v>
      </c>
      <c r="G19" s="222">
        <f>+'GASTOS ADMINISTRATIVOS Y OPERAT'!F36</f>
        <v>314046.68981650175</v>
      </c>
      <c r="H19" s="229">
        <f>+'GASTOS ADMINISTRATIVOS Y OPERAT'!G36</f>
        <v>327112.05611286825</v>
      </c>
    </row>
    <row r="20" spans="2:8">
      <c r="B20" s="215"/>
      <c r="C20" s="209"/>
      <c r="D20" s="211"/>
      <c r="E20" s="211"/>
      <c r="F20" s="211"/>
      <c r="G20" s="211"/>
      <c r="H20" s="212"/>
    </row>
    <row r="21" spans="2:8">
      <c r="B21" s="147" t="s">
        <v>105</v>
      </c>
      <c r="C21" s="222"/>
      <c r="D21" s="222">
        <f>+'GASTOS ADMINISTRATIVOS Y OPERAT'!D51</f>
        <v>80445</v>
      </c>
      <c r="E21" s="222">
        <f>+'GASTOS ADMINISTRATIVOS Y OPERAT'!E51</f>
        <v>92511.75</v>
      </c>
      <c r="F21" s="222">
        <f>+'GASTOS ADMINISTRATIVOS Y OPERAT'!F51</f>
        <v>101762.925</v>
      </c>
      <c r="G21" s="222">
        <f>+'GASTOS ADMINISTRATIVOS Y OPERAT'!G51</f>
        <v>111939.21750000001</v>
      </c>
      <c r="H21" s="229">
        <f>+'GASTOS ADMINISTRATIVOS Y OPERAT'!H51</f>
        <v>123133.13925000005</v>
      </c>
    </row>
    <row r="22" spans="2:8">
      <c r="B22" s="214"/>
      <c r="C22" s="209"/>
      <c r="D22" s="211"/>
      <c r="E22" s="211"/>
      <c r="F22" s="211"/>
      <c r="G22" s="211"/>
      <c r="H22" s="212"/>
    </row>
    <row r="23" spans="2:8">
      <c r="B23" s="147" t="s">
        <v>60</v>
      </c>
      <c r="C23" s="220"/>
      <c r="D23" s="222">
        <f>+D24+D25</f>
        <v>97952.734950346436</v>
      </c>
      <c r="E23" s="222">
        <f t="shared" ref="E23:H23" si="2">+E24+E25</f>
        <v>97952.734950346436</v>
      </c>
      <c r="F23" s="222">
        <f t="shared" si="2"/>
        <v>97952.734950346436</v>
      </c>
      <c r="G23" s="222">
        <f t="shared" si="2"/>
        <v>97952.734950346436</v>
      </c>
      <c r="H23" s="229">
        <f t="shared" si="2"/>
        <v>97952.734950346436</v>
      </c>
    </row>
    <row r="24" spans="2:8">
      <c r="B24" s="230" t="s">
        <v>153</v>
      </c>
      <c r="C24" s="220"/>
      <c r="D24" s="224">
        <f>+INVERSION!C71-INVERSION!C69</f>
        <v>58843.62973002113</v>
      </c>
      <c r="E24" s="224">
        <f>+INVERSION!D71-INVERSION!D69</f>
        <v>65157.269528806479</v>
      </c>
      <c r="F24" s="224">
        <f>+INVERSION!E71-INVERSION!E69</f>
        <v>72148.332656025101</v>
      </c>
      <c r="G24" s="224">
        <f>+INVERSION!F71-INVERSION!F69</f>
        <v>79889.503392144485</v>
      </c>
      <c r="H24" s="231">
        <f>+INVERSION!G71-INVERSION!G69</f>
        <v>88461.264693002959</v>
      </c>
    </row>
    <row r="25" spans="2:8">
      <c r="B25" s="230" t="s">
        <v>154</v>
      </c>
      <c r="C25" s="220"/>
      <c r="D25" s="224">
        <f>+INVERSION!C69</f>
        <v>39109.105220325306</v>
      </c>
      <c r="E25" s="224">
        <f>+INVERSION!D69</f>
        <v>32795.465421539957</v>
      </c>
      <c r="F25" s="224">
        <f>+INVERSION!E69</f>
        <v>25804.402294321335</v>
      </c>
      <c r="G25" s="224">
        <f>+INVERSION!F69</f>
        <v>18063.231558201947</v>
      </c>
      <c r="H25" s="231">
        <f>+INVERSION!G69</f>
        <v>9491.4702573434752</v>
      </c>
    </row>
    <row r="26" spans="2:8">
      <c r="B26" s="214"/>
      <c r="C26" s="209"/>
      <c r="D26" s="209"/>
      <c r="E26" s="209"/>
      <c r="F26" s="209"/>
      <c r="G26" s="209"/>
      <c r="H26" s="210"/>
    </row>
    <row r="27" spans="2:8">
      <c r="B27" s="147" t="s">
        <v>126</v>
      </c>
      <c r="C27" s="220"/>
      <c r="D27" s="222">
        <f>+D17-D19-D21-D23</f>
        <v>250503.33224965361</v>
      </c>
      <c r="E27" s="222">
        <f t="shared" ref="E27:H27" si="3">+E17-E19-E21-E23</f>
        <v>332894.96264517389</v>
      </c>
      <c r="F27" s="222">
        <f t="shared" si="3"/>
        <v>392883.20466514723</v>
      </c>
      <c r="G27" s="222">
        <f t="shared" si="3"/>
        <v>459573.55773315183</v>
      </c>
      <c r="H27" s="229">
        <f t="shared" si="3"/>
        <v>533665.4896867855</v>
      </c>
    </row>
    <row r="28" spans="2:8">
      <c r="B28" s="214"/>
      <c r="C28" s="209"/>
      <c r="D28" s="211"/>
      <c r="E28" s="211"/>
      <c r="F28" s="211"/>
      <c r="G28" s="211"/>
      <c r="H28" s="212"/>
    </row>
    <row r="29" spans="2:8">
      <c r="B29" s="230" t="s">
        <v>120</v>
      </c>
      <c r="C29" s="223"/>
      <c r="D29" s="224">
        <f>+DEPRECIACIÓN!H11</f>
        <v>84320</v>
      </c>
      <c r="E29" s="224">
        <f>+DEPRECIACIÓN!I11</f>
        <v>84320</v>
      </c>
      <c r="F29" s="224">
        <f>+DEPRECIACIÓN!J11</f>
        <v>84320</v>
      </c>
      <c r="G29" s="224">
        <f>+DEPRECIACIÓN!K11</f>
        <v>84320</v>
      </c>
      <c r="H29" s="231">
        <f>+DEPRECIACIÓN!L11</f>
        <v>84320</v>
      </c>
    </row>
    <row r="30" spans="2:8">
      <c r="B30" s="214"/>
      <c r="C30" s="209"/>
      <c r="D30" s="211"/>
      <c r="E30" s="211"/>
      <c r="F30" s="211"/>
      <c r="G30" s="211"/>
      <c r="H30" s="212"/>
    </row>
    <row r="31" spans="2:8" ht="15.75" thickBot="1">
      <c r="B31" s="216" t="s">
        <v>119</v>
      </c>
      <c r="C31" s="201"/>
      <c r="D31" s="202">
        <f>+D27-D29</f>
        <v>166183.33224965361</v>
      </c>
      <c r="E31" s="202">
        <f t="shared" ref="E31:H31" si="4">+E27-E29</f>
        <v>248574.96264517389</v>
      </c>
      <c r="F31" s="202">
        <f t="shared" si="4"/>
        <v>308563.20466514723</v>
      </c>
      <c r="G31" s="202">
        <f t="shared" si="4"/>
        <v>375253.55773315183</v>
      </c>
      <c r="H31" s="213">
        <f t="shared" si="4"/>
        <v>449345.4896867855</v>
      </c>
    </row>
    <row r="32" spans="2:8" ht="15.75" thickTop="1">
      <c r="B32" s="214"/>
      <c r="C32" s="209"/>
      <c r="D32" s="211"/>
      <c r="E32" s="211"/>
      <c r="F32" s="211"/>
      <c r="G32" s="211"/>
      <c r="H32" s="212"/>
    </row>
    <row r="33" spans="2:8">
      <c r="B33" s="230" t="s">
        <v>127</v>
      </c>
      <c r="C33" s="220"/>
      <c r="D33" s="221">
        <f>+D31*15%</f>
        <v>24927.499837448042</v>
      </c>
      <c r="E33" s="221">
        <f t="shared" ref="E33:H33" si="5">+E31*15%</f>
        <v>37286.244396776085</v>
      </c>
      <c r="F33" s="221">
        <f t="shared" si="5"/>
        <v>46284.480699772081</v>
      </c>
      <c r="G33" s="221">
        <f t="shared" si="5"/>
        <v>56288.033659972774</v>
      </c>
      <c r="H33" s="227">
        <f t="shared" si="5"/>
        <v>67401.823453017816</v>
      </c>
    </row>
    <row r="34" spans="2:8">
      <c r="B34" s="214"/>
      <c r="C34" s="209"/>
      <c r="D34" s="211"/>
      <c r="E34" s="211"/>
      <c r="F34" s="211"/>
      <c r="G34" s="211"/>
      <c r="H34" s="212"/>
    </row>
    <row r="35" spans="2:8">
      <c r="B35" s="147" t="s">
        <v>128</v>
      </c>
      <c r="C35" s="220"/>
      <c r="D35" s="221">
        <f>+D31-D33</f>
        <v>141255.83241220558</v>
      </c>
      <c r="E35" s="221">
        <f t="shared" ref="E35:H35" si="6">+E31-E33</f>
        <v>211288.71824839781</v>
      </c>
      <c r="F35" s="221">
        <f t="shared" si="6"/>
        <v>262278.72396537516</v>
      </c>
      <c r="G35" s="221">
        <f t="shared" si="6"/>
        <v>318965.52407317905</v>
      </c>
      <c r="H35" s="227">
        <f t="shared" si="6"/>
        <v>381943.6662337677</v>
      </c>
    </row>
    <row r="36" spans="2:8">
      <c r="B36" s="214"/>
      <c r="C36" s="209"/>
      <c r="D36" s="211"/>
      <c r="E36" s="211"/>
      <c r="F36" s="211"/>
      <c r="G36" s="211"/>
      <c r="H36" s="212"/>
    </row>
    <row r="37" spans="2:8">
      <c r="B37" s="126" t="s">
        <v>129</v>
      </c>
      <c r="C37" s="220"/>
      <c r="D37" s="221">
        <f>+D35*25%</f>
        <v>35313.958103051395</v>
      </c>
      <c r="E37" s="221">
        <f t="shared" ref="E37:H37" si="7">+E35*25%</f>
        <v>52822.179562099453</v>
      </c>
      <c r="F37" s="221">
        <f t="shared" si="7"/>
        <v>65569.68099134379</v>
      </c>
      <c r="G37" s="221">
        <f t="shared" si="7"/>
        <v>79741.381018294764</v>
      </c>
      <c r="H37" s="227">
        <f t="shared" si="7"/>
        <v>95485.916558441924</v>
      </c>
    </row>
    <row r="38" spans="2:8">
      <c r="B38" s="214"/>
      <c r="C38" s="209"/>
      <c r="D38" s="211"/>
      <c r="E38" s="211"/>
      <c r="F38" s="211"/>
      <c r="G38" s="211"/>
      <c r="H38" s="212"/>
    </row>
    <row r="39" spans="2:8" ht="15.75" thickBot="1">
      <c r="B39" s="216" t="s">
        <v>130</v>
      </c>
      <c r="C39" s="201"/>
      <c r="D39" s="203">
        <f>+D35-D37</f>
        <v>105941.87430915418</v>
      </c>
      <c r="E39" s="203">
        <f t="shared" ref="E39:H39" si="8">+E35-E37</f>
        <v>158466.53868629836</v>
      </c>
      <c r="F39" s="203">
        <f t="shared" si="8"/>
        <v>196709.04297403136</v>
      </c>
      <c r="G39" s="203">
        <f t="shared" si="8"/>
        <v>239224.14305488428</v>
      </c>
      <c r="H39" s="217">
        <f t="shared" si="8"/>
        <v>286457.74967532576</v>
      </c>
    </row>
    <row r="40" spans="2:8" ht="15.75" thickTop="1">
      <c r="B40" s="214"/>
      <c r="C40" s="209"/>
      <c r="D40" s="211"/>
      <c r="E40" s="211"/>
      <c r="F40" s="211"/>
      <c r="G40" s="211"/>
      <c r="H40" s="212"/>
    </row>
    <row r="41" spans="2:8">
      <c r="B41" s="147" t="s">
        <v>131</v>
      </c>
      <c r="C41" s="209"/>
      <c r="D41" s="211"/>
      <c r="E41" s="211"/>
      <c r="F41" s="211"/>
      <c r="G41" s="211"/>
      <c r="H41" s="212"/>
    </row>
    <row r="42" spans="2:8">
      <c r="B42" s="126"/>
      <c r="C42" s="209"/>
      <c r="D42" s="211"/>
      <c r="E42" s="211"/>
      <c r="F42" s="211"/>
      <c r="G42" s="211"/>
      <c r="H42" s="212"/>
    </row>
    <row r="43" spans="2:8">
      <c r="B43" s="126" t="s">
        <v>132</v>
      </c>
      <c r="C43" s="221">
        <f>-INVERSION!F19</f>
        <v>-908500</v>
      </c>
      <c r="D43" s="221">
        <f>+INVERSION!C44</f>
        <v>640000</v>
      </c>
      <c r="E43" s="221"/>
      <c r="F43" s="221"/>
      <c r="G43" s="221"/>
      <c r="H43" s="227"/>
    </row>
    <row r="44" spans="2:8">
      <c r="B44" s="126" t="s">
        <v>133</v>
      </c>
      <c r="C44" s="221">
        <f>-INVERSION!F30</f>
        <v>-496000</v>
      </c>
      <c r="D44" s="221"/>
      <c r="E44" s="221"/>
      <c r="F44" s="221"/>
      <c r="G44" s="221"/>
      <c r="H44" s="227"/>
    </row>
    <row r="45" spans="2:8">
      <c r="B45" s="214"/>
      <c r="C45" s="211"/>
      <c r="D45" s="211"/>
      <c r="E45" s="211"/>
      <c r="F45" s="211"/>
      <c r="G45" s="211"/>
      <c r="H45" s="212"/>
    </row>
    <row r="46" spans="2:8">
      <c r="B46" s="147" t="s">
        <v>138</v>
      </c>
      <c r="C46" s="221"/>
      <c r="D46" s="221"/>
      <c r="E46" s="221"/>
      <c r="F46" s="221"/>
      <c r="G46" s="221"/>
      <c r="H46" s="227"/>
    </row>
    <row r="47" spans="2:8">
      <c r="B47" s="126" t="s">
        <v>155</v>
      </c>
      <c r="C47" s="221"/>
      <c r="D47" s="221"/>
      <c r="E47" s="221"/>
      <c r="F47" s="221"/>
      <c r="G47" s="221"/>
      <c r="H47" s="227">
        <f>+SUM(DEPRECIACIÓN!D7:D9)</f>
        <v>74400</v>
      </c>
    </row>
    <row r="48" spans="2:8">
      <c r="B48" s="126" t="s">
        <v>152</v>
      </c>
      <c r="C48" s="221"/>
      <c r="D48" s="221"/>
      <c r="E48" s="221"/>
      <c r="F48" s="221"/>
      <c r="G48" s="221"/>
      <c r="H48" s="227">
        <v>0</v>
      </c>
    </row>
    <row r="49" spans="2:8">
      <c r="B49" s="214"/>
      <c r="C49" s="211"/>
      <c r="D49" s="211"/>
      <c r="E49" s="211"/>
      <c r="F49" s="211"/>
      <c r="G49" s="211"/>
      <c r="H49" s="212"/>
    </row>
    <row r="50" spans="2:8">
      <c r="B50" s="147" t="s">
        <v>135</v>
      </c>
      <c r="C50" s="221">
        <f>SUM(C43:C49)</f>
        <v>-1404500</v>
      </c>
      <c r="D50" s="39">
        <f>+D39+D29+D43+D47</f>
        <v>830261.87430915423</v>
      </c>
      <c r="E50" s="39">
        <f t="shared" ref="E50:H50" si="9">+E39+E29+E43+E47</f>
        <v>242786.53868629836</v>
      </c>
      <c r="F50" s="39">
        <f t="shared" si="9"/>
        <v>281029.04297403136</v>
      </c>
      <c r="G50" s="39">
        <f t="shared" si="9"/>
        <v>323544.14305488428</v>
      </c>
      <c r="H50" s="42">
        <f t="shared" si="9"/>
        <v>445177.74967532576</v>
      </c>
    </row>
    <row r="51" spans="2:8">
      <c r="B51" s="163" t="s">
        <v>137</v>
      </c>
      <c r="C51" s="221">
        <f>+C50</f>
        <v>-1404500</v>
      </c>
      <c r="D51" s="39">
        <f>+D50/(1+$C$53)^D6</f>
        <v>721966.84722535161</v>
      </c>
      <c r="E51" s="39">
        <f>+E50/(1+$C$53)^E6</f>
        <v>183581.50373255077</v>
      </c>
      <c r="F51" s="39">
        <f>+F50/(1+$C$53)^F6</f>
        <v>184781.15754025246</v>
      </c>
      <c r="G51" s="39">
        <f>+G50/(1+$C$53)^G6</f>
        <v>184987.41388424678</v>
      </c>
      <c r="H51" s="42">
        <f>+H50/(1+$C$53)^H6</f>
        <v>221332.02021101778</v>
      </c>
    </row>
    <row r="52" spans="2:8">
      <c r="B52" s="214"/>
      <c r="C52" s="209"/>
      <c r="D52" s="211"/>
      <c r="E52" s="211"/>
      <c r="F52" s="211"/>
      <c r="G52" s="211"/>
      <c r="H52" s="212"/>
    </row>
    <row r="53" spans="2:8">
      <c r="B53" s="147" t="s">
        <v>136</v>
      </c>
      <c r="C53" s="245">
        <v>0.15</v>
      </c>
      <c r="D53" s="211"/>
      <c r="E53" s="211"/>
      <c r="F53" s="211"/>
      <c r="G53" s="211"/>
      <c r="H53" s="212"/>
    </row>
    <row r="54" spans="2:8">
      <c r="B54" s="147" t="s">
        <v>137</v>
      </c>
      <c r="C54" s="222">
        <f>+C51+D51+E51+F51+G51+H51</f>
        <v>92148.942593419371</v>
      </c>
      <c r="D54" s="211"/>
      <c r="E54" s="211"/>
      <c r="F54" s="211"/>
      <c r="G54" s="211"/>
      <c r="H54" s="212"/>
    </row>
    <row r="55" spans="2:8">
      <c r="B55" s="214"/>
      <c r="C55" s="209"/>
      <c r="D55" s="211"/>
      <c r="E55" s="211"/>
      <c r="F55" s="211"/>
      <c r="G55" s="211"/>
      <c r="H55" s="212"/>
    </row>
    <row r="56" spans="2:8" ht="15.75" thickBot="1">
      <c r="B56" s="172" t="s">
        <v>162</v>
      </c>
      <c r="C56" s="232">
        <f>IRR(C50:H50)</f>
        <v>0.18221427867186127</v>
      </c>
      <c r="D56" s="218"/>
      <c r="E56" s="218"/>
      <c r="F56" s="218"/>
      <c r="G56" s="218"/>
      <c r="H56" s="219"/>
    </row>
    <row r="57" spans="2:8">
      <c r="D57" s="54"/>
      <c r="E57" s="54"/>
      <c r="F57" s="54"/>
      <c r="G57" s="54"/>
      <c r="H57" s="54"/>
    </row>
    <row r="58" spans="2:8">
      <c r="B58" s="54"/>
      <c r="C58" s="54"/>
      <c r="D58" s="54"/>
      <c r="E58" s="54"/>
      <c r="F58" s="54"/>
      <c r="G58" s="54"/>
      <c r="H58" s="54"/>
    </row>
    <row r="59" spans="2:8">
      <c r="C59" s="33"/>
    </row>
    <row r="61" spans="2:8">
      <c r="C61" s="33"/>
    </row>
  </sheetData>
  <mergeCells count="1">
    <mergeCell ref="C5:H5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C4"/>
  <sheetViews>
    <sheetView workbookViewId="0">
      <selection activeCell="C5" sqref="C5"/>
    </sheetView>
  </sheetViews>
  <sheetFormatPr baseColWidth="10" defaultRowHeight="15"/>
  <cols>
    <col min="3" max="3" width="13.85546875" bestFit="1" customWidth="1"/>
  </cols>
  <sheetData>
    <row r="4" spans="3:3">
      <c r="C4" s="235">
        <f>75000/40</f>
        <v>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INVERSION</vt:lpstr>
      <vt:lpstr>GASTOS ADMINISTRATIVOS Y OPERAT</vt:lpstr>
      <vt:lpstr>PRESUP. INGRESOS</vt:lpstr>
      <vt:lpstr>DEPRECIACIÓN</vt:lpstr>
      <vt:lpstr>FLUJO DE EFECTIVO</vt:lpstr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Aguinaga R</dc:creator>
  <cp:lastModifiedBy>Roberto Aguinaga R</cp:lastModifiedBy>
  <dcterms:created xsi:type="dcterms:W3CDTF">2012-11-17T21:15:25Z</dcterms:created>
  <dcterms:modified xsi:type="dcterms:W3CDTF">2013-11-22T00:00:51Z</dcterms:modified>
</cp:coreProperties>
</file>